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Z:\APOIO 2025\Março 2025\SERVIÇOS DE LIMPEZA\"/>
    </mc:Choice>
  </mc:AlternateContent>
  <xr:revisionPtr revIDLastSave="0" documentId="13_ncr:1_{AB33DEB8-315B-4FCA-BB67-C32DE049E109}" xr6:coauthVersionLast="47" xr6:coauthVersionMax="47" xr10:uidLastSave="{00000000-0000-0000-0000-000000000000}"/>
  <bookViews>
    <workbookView xWindow="28680" yWindow="-120" windowWidth="29040" windowHeight="15840" activeTab="4" xr2:uid="{00000000-000D-0000-FFFF-FFFF00000000}"/>
  </bookViews>
  <sheets>
    <sheet name="Encarregado" sheetId="1" r:id="rId1"/>
    <sheet name="Servente" sheetId="15" r:id="rId2"/>
    <sheet name="Ag. Higienização de Banheiros" sheetId="22" r:id="rId3"/>
    <sheet name="Jardineiro" sheetId="17" r:id="rId4"/>
    <sheet name="Jauzeiro" sheetId="18" r:id="rId5"/>
    <sheet name="Lavador de Autos" sheetId="19" r:id="rId6"/>
    <sheet name="Carregador de Móveis" sheetId="20" r:id="rId7"/>
    <sheet name="Levantamento de Áreas" sheetId="7" r:id="rId8"/>
    <sheet name="Valor MO Mensal, m²" sheetId="12" r:id="rId9"/>
    <sheet name="Material Cons Mensal Anual " sheetId="21" r:id="rId10"/>
    <sheet name="Uniformes Total" sheetId="9" r:id="rId11"/>
    <sheet name="Uniformes Por Categoria" sheetId="14" r:id="rId12"/>
    <sheet name="Equips Ferr Básicos p Funcion" sheetId="10" r:id="rId13"/>
    <sheet name="Resumo Geral (MO+MAT.)" sheetId="11" r:id="rId14"/>
  </sheets>
  <externalReferences>
    <externalReference r:id="rId15"/>
    <externalReference r:id="rId16"/>
    <externalReference r:id="rId17"/>
  </externalReferences>
  <definedNames>
    <definedName name="_xlnm._FilterDatabase" localSheetId="11" hidden="1">'Uniformes Por Categoria'!$A$9:$P$67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9" i="14" l="1"/>
  <c r="L69" i="10"/>
  <c r="G131" i="22"/>
  <c r="O51" i="14"/>
  <c r="G42" i="22"/>
  <c r="F97" i="20"/>
  <c r="F97" i="19"/>
  <c r="F97" i="18"/>
  <c r="F97" i="17"/>
  <c r="F97" i="15"/>
  <c r="F97" i="1"/>
  <c r="F97" i="22"/>
  <c r="F100" i="22"/>
  <c r="F27" i="7"/>
  <c r="F30" i="7"/>
  <c r="E43" i="12"/>
  <c r="A18" i="12"/>
  <c r="F26" i="7"/>
  <c r="G76" i="20"/>
  <c r="G76" i="19"/>
  <c r="G76" i="18"/>
  <c r="G76" i="15"/>
  <c r="K65" i="10"/>
  <c r="K62" i="10"/>
  <c r="K56" i="10"/>
  <c r="M146" i="21"/>
  <c r="M145" i="21"/>
  <c r="M141" i="21"/>
  <c r="M140" i="21"/>
  <c r="M139" i="21"/>
  <c r="M138" i="21"/>
  <c r="M137" i="21"/>
  <c r="M136" i="21"/>
  <c r="M135" i="21"/>
  <c r="M134" i="21"/>
  <c r="M133" i="21"/>
  <c r="M132" i="21"/>
  <c r="M131" i="21"/>
  <c r="M130" i="21"/>
  <c r="M129" i="21"/>
  <c r="M128" i="21"/>
  <c r="M127" i="21"/>
  <c r="M126" i="21"/>
  <c r="M125" i="21"/>
  <c r="M123" i="21"/>
  <c r="M122" i="21"/>
  <c r="M121" i="21"/>
  <c r="M120" i="21"/>
  <c r="M119" i="21"/>
  <c r="M116" i="21"/>
  <c r="M114" i="21"/>
  <c r="M113" i="21"/>
  <c r="M111" i="21"/>
  <c r="M110" i="21"/>
  <c r="M108" i="21"/>
  <c r="M109" i="21"/>
  <c r="M107" i="21"/>
  <c r="M106" i="21"/>
  <c r="M104" i="21"/>
  <c r="M103" i="21"/>
  <c r="M102" i="21"/>
  <c r="M101" i="21"/>
  <c r="M100" i="21"/>
  <c r="M98" i="21"/>
  <c r="M97" i="21"/>
  <c r="M96" i="21"/>
  <c r="M95" i="21"/>
  <c r="M94" i="21"/>
  <c r="M92" i="21"/>
  <c r="M91" i="21"/>
  <c r="M90" i="21"/>
  <c r="M88" i="21"/>
  <c r="M87" i="21"/>
  <c r="M86" i="21"/>
  <c r="M85" i="21"/>
  <c r="M84" i="21"/>
  <c r="M83" i="21"/>
  <c r="M82" i="21"/>
  <c r="M81" i="21"/>
  <c r="M80" i="21"/>
  <c r="M79" i="21"/>
  <c r="M78" i="21"/>
  <c r="M77" i="21"/>
  <c r="M76" i="21"/>
  <c r="M75" i="21"/>
  <c r="M74" i="21"/>
  <c r="M73" i="21"/>
  <c r="M72" i="21"/>
  <c r="M71" i="21"/>
  <c r="M70" i="21"/>
  <c r="M69" i="21"/>
  <c r="M68" i="21"/>
  <c r="M67" i="21"/>
  <c r="M66" i="21"/>
  <c r="M65" i="21"/>
  <c r="M61" i="21"/>
  <c r="M60" i="21"/>
  <c r="M59" i="21"/>
  <c r="M57" i="21"/>
  <c r="M56" i="21"/>
  <c r="M55" i="21"/>
  <c r="M54" i="21"/>
  <c r="M53" i="21"/>
  <c r="M50" i="21"/>
  <c r="M49" i="21"/>
  <c r="M48" i="21"/>
  <c r="M46" i="21"/>
  <c r="M45" i="21"/>
  <c r="M44" i="21"/>
  <c r="M43" i="21"/>
  <c r="M41" i="21"/>
  <c r="M40" i="21"/>
  <c r="M39" i="21"/>
  <c r="M38" i="21"/>
  <c r="M37" i="21"/>
  <c r="M36" i="21"/>
  <c r="M35" i="21"/>
  <c r="M34" i="21"/>
  <c r="M33" i="21"/>
  <c r="M31" i="21"/>
  <c r="M30" i="21"/>
  <c r="M29" i="21"/>
  <c r="M28" i="21"/>
  <c r="M24" i="21"/>
  <c r="M23" i="21"/>
  <c r="M22" i="21"/>
  <c r="M20" i="21"/>
  <c r="M19" i="21"/>
  <c r="M18" i="21"/>
  <c r="M17" i="21"/>
  <c r="M15" i="21"/>
  <c r="M14" i="21"/>
  <c r="M13" i="21"/>
  <c r="M26" i="21"/>
  <c r="M25" i="21"/>
  <c r="M21" i="21"/>
  <c r="M16" i="21"/>
  <c r="K13" i="10"/>
  <c r="M7" i="10"/>
  <c r="F25" i="7" l="1"/>
  <c r="M8" i="10"/>
  <c r="N8" i="10" s="1"/>
  <c r="L7" i="10"/>
  <c r="N7" i="10"/>
  <c r="G8" i="10"/>
  <c r="H8" i="10" s="1"/>
  <c r="H9" i="10" s="1"/>
  <c r="G77" i="20"/>
  <c r="G77" i="19"/>
  <c r="G77" i="18"/>
  <c r="G77" i="17"/>
  <c r="G77" i="22"/>
  <c r="G77" i="15"/>
  <c r="G77" i="1"/>
  <c r="L50" i="14"/>
  <c r="H23" i="10"/>
  <c r="F35" i="7"/>
  <c r="D19" i="9"/>
  <c r="E56" i="12"/>
  <c r="E44" i="12"/>
  <c r="C18" i="7"/>
  <c r="A41" i="12"/>
  <c r="G79" i="7"/>
  <c r="G78" i="7"/>
  <c r="G60" i="7"/>
  <c r="F28" i="14"/>
  <c r="G49" i="7"/>
  <c r="F11" i="14"/>
  <c r="G82" i="17"/>
  <c r="G76" i="17"/>
  <c r="L30" i="14"/>
  <c r="E30" i="9" s="1"/>
  <c r="F55" i="10"/>
  <c r="F56" i="10"/>
  <c r="F57" i="10"/>
  <c r="F58" i="10"/>
  <c r="F59" i="10"/>
  <c r="F60" i="10"/>
  <c r="F61" i="10"/>
  <c r="F62" i="10"/>
  <c r="F63" i="10"/>
  <c r="F64" i="10"/>
  <c r="F65" i="10"/>
  <c r="F66" i="10"/>
  <c r="F54" i="10"/>
  <c r="F30" i="10"/>
  <c r="F31" i="10"/>
  <c r="F32" i="10"/>
  <c r="F33" i="10"/>
  <c r="F34" i="10"/>
  <c r="F35" i="10"/>
  <c r="F36" i="10"/>
  <c r="F37" i="10"/>
  <c r="F38" i="10"/>
  <c r="F39" i="10"/>
  <c r="F40" i="10"/>
  <c r="F41" i="10"/>
  <c r="F42" i="10"/>
  <c r="F43" i="10"/>
  <c r="F44" i="10"/>
  <c r="F45" i="10"/>
  <c r="F46" i="10"/>
  <c r="F47" i="10"/>
  <c r="F48" i="10"/>
  <c r="F49" i="10"/>
  <c r="F29" i="10"/>
  <c r="F14" i="10"/>
  <c r="F15" i="10"/>
  <c r="F16" i="10"/>
  <c r="F17" i="10"/>
  <c r="F18" i="10"/>
  <c r="F19" i="10"/>
  <c r="F20" i="10"/>
  <c r="F21" i="10"/>
  <c r="F22" i="10"/>
  <c r="F23" i="10"/>
  <c r="F24" i="10"/>
  <c r="F13" i="10"/>
  <c r="F8" i="10"/>
  <c r="F7" i="10"/>
  <c r="L120" i="21"/>
  <c r="L121" i="21"/>
  <c r="L122" i="21"/>
  <c r="L123" i="21"/>
  <c r="L124" i="21"/>
  <c r="L125" i="21"/>
  <c r="L126" i="21"/>
  <c r="L127" i="21"/>
  <c r="L128" i="21"/>
  <c r="L129" i="21"/>
  <c r="L130" i="21"/>
  <c r="L131" i="21"/>
  <c r="L132" i="21"/>
  <c r="L133" i="21"/>
  <c r="L134" i="21"/>
  <c r="L135" i="21"/>
  <c r="L136" i="21"/>
  <c r="L137" i="21"/>
  <c r="L138" i="21"/>
  <c r="L139" i="21"/>
  <c r="L140" i="21"/>
  <c r="L141" i="21"/>
  <c r="L142" i="21"/>
  <c r="L143" i="21"/>
  <c r="L144" i="21"/>
  <c r="L145" i="21"/>
  <c r="L146" i="21"/>
  <c r="L119" i="21"/>
  <c r="L14" i="21"/>
  <c r="L15" i="21"/>
  <c r="L16" i="21"/>
  <c r="L17" i="21"/>
  <c r="L18" i="21"/>
  <c r="L19" i="21"/>
  <c r="L20" i="21"/>
  <c r="L21" i="21"/>
  <c r="L22" i="21"/>
  <c r="L23" i="21"/>
  <c r="L24" i="21"/>
  <c r="L25" i="21"/>
  <c r="L26" i="21"/>
  <c r="L27" i="21"/>
  <c r="L28" i="21"/>
  <c r="L29" i="21"/>
  <c r="L30" i="21"/>
  <c r="L31" i="21"/>
  <c r="L32" i="21"/>
  <c r="L33" i="21"/>
  <c r="L34" i="21"/>
  <c r="L35" i="21"/>
  <c r="L36" i="21"/>
  <c r="L37" i="21"/>
  <c r="L38" i="21"/>
  <c r="L39" i="21"/>
  <c r="L40" i="21"/>
  <c r="L41" i="21"/>
  <c r="L42" i="21"/>
  <c r="L43" i="21"/>
  <c r="L44" i="21"/>
  <c r="L45" i="21"/>
  <c r="L46" i="21"/>
  <c r="L47" i="21"/>
  <c r="L48" i="21"/>
  <c r="L49" i="21"/>
  <c r="L50" i="21"/>
  <c r="L51" i="21"/>
  <c r="L52" i="21"/>
  <c r="L53" i="21"/>
  <c r="L54" i="21"/>
  <c r="L55" i="21"/>
  <c r="L56" i="21"/>
  <c r="L57" i="21"/>
  <c r="L58" i="21"/>
  <c r="L59" i="21"/>
  <c r="L60" i="21"/>
  <c r="L61" i="21"/>
  <c r="L62" i="21"/>
  <c r="L63" i="21"/>
  <c r="L64" i="21"/>
  <c r="L65" i="21"/>
  <c r="L66" i="21"/>
  <c r="L67" i="21"/>
  <c r="L68" i="21"/>
  <c r="L69" i="21"/>
  <c r="L70" i="21"/>
  <c r="L71" i="21"/>
  <c r="L72" i="21"/>
  <c r="L73" i="21"/>
  <c r="L74" i="21"/>
  <c r="L75" i="21"/>
  <c r="L76" i="21"/>
  <c r="L77" i="21"/>
  <c r="L78" i="21"/>
  <c r="L79" i="21"/>
  <c r="L80" i="21"/>
  <c r="L81" i="21"/>
  <c r="L82" i="21"/>
  <c r="L83" i="21"/>
  <c r="L84" i="21"/>
  <c r="L85" i="21"/>
  <c r="L86" i="21"/>
  <c r="L87" i="21"/>
  <c r="L88" i="21"/>
  <c r="L89" i="21"/>
  <c r="L90" i="21"/>
  <c r="L91" i="21"/>
  <c r="L92" i="21"/>
  <c r="L93" i="21"/>
  <c r="L94" i="21"/>
  <c r="L95" i="21"/>
  <c r="L96" i="21"/>
  <c r="L97" i="21"/>
  <c r="L98" i="21"/>
  <c r="L99" i="21"/>
  <c r="L100" i="21"/>
  <c r="L101" i="21"/>
  <c r="L102" i="21"/>
  <c r="L103" i="21"/>
  <c r="L104" i="21"/>
  <c r="L105" i="21"/>
  <c r="L106" i="21"/>
  <c r="L107" i="21"/>
  <c r="L108" i="21"/>
  <c r="L109" i="21"/>
  <c r="L110" i="21"/>
  <c r="L111" i="21"/>
  <c r="L112" i="21"/>
  <c r="L113" i="21"/>
  <c r="L114" i="21"/>
  <c r="L115" i="21"/>
  <c r="L116" i="21"/>
  <c r="L13" i="21"/>
  <c r="G74" i="7"/>
  <c r="G57" i="7"/>
  <c r="G41" i="7"/>
  <c r="G45" i="7" s="1"/>
  <c r="K66" i="10"/>
  <c r="L66" i="10" s="1"/>
  <c r="J66" i="10"/>
  <c r="L65" i="10"/>
  <c r="K63" i="10"/>
  <c r="L63" i="10" s="1"/>
  <c r="K64" i="10"/>
  <c r="L64" i="10" s="1"/>
  <c r="L62" i="10"/>
  <c r="K61" i="10"/>
  <c r="L61" i="10" s="1"/>
  <c r="K60" i="10"/>
  <c r="L60" i="10" s="1"/>
  <c r="K59" i="10"/>
  <c r="L59" i="10" s="1"/>
  <c r="K58" i="10"/>
  <c r="L58" i="10" s="1"/>
  <c r="K57" i="10"/>
  <c r="L57" i="10" s="1"/>
  <c r="L56" i="10"/>
  <c r="K55" i="10"/>
  <c r="L55" i="10" s="1"/>
  <c r="K54" i="10"/>
  <c r="L54" i="10" s="1"/>
  <c r="K49" i="10"/>
  <c r="L49" i="10" s="1"/>
  <c r="K48" i="10"/>
  <c r="L48" i="10" s="1"/>
  <c r="K47" i="10"/>
  <c r="L47" i="10" s="1"/>
  <c r="K46" i="10"/>
  <c r="L46" i="10" s="1"/>
  <c r="K45" i="10"/>
  <c r="L45" i="10" s="1"/>
  <c r="K44" i="10"/>
  <c r="L44" i="10" s="1"/>
  <c r="K43" i="10"/>
  <c r="L43" i="10" s="1"/>
  <c r="K42" i="10"/>
  <c r="L42" i="10" s="1"/>
  <c r="K41" i="10"/>
  <c r="L41" i="10" s="1"/>
  <c r="K40" i="10"/>
  <c r="L40" i="10" s="1"/>
  <c r="K39" i="10"/>
  <c r="L39" i="10" s="1"/>
  <c r="K38" i="10"/>
  <c r="L38" i="10" s="1"/>
  <c r="K37" i="10"/>
  <c r="L37" i="10" s="1"/>
  <c r="K36" i="10"/>
  <c r="L36" i="10" s="1"/>
  <c r="K35" i="10"/>
  <c r="L35" i="10" s="1"/>
  <c r="K34" i="10"/>
  <c r="L34" i="10" s="1"/>
  <c r="K33" i="10"/>
  <c r="L33" i="10" s="1"/>
  <c r="K32" i="10"/>
  <c r="L32" i="10" s="1"/>
  <c r="K31" i="10"/>
  <c r="L31" i="10" s="1"/>
  <c r="K30" i="10"/>
  <c r="L30" i="10" s="1"/>
  <c r="K29" i="10"/>
  <c r="L29" i="10" s="1"/>
  <c r="L17" i="10"/>
  <c r="K24" i="10"/>
  <c r="L24" i="10" s="1"/>
  <c r="K23" i="10"/>
  <c r="L23" i="10" s="1"/>
  <c r="K22" i="10"/>
  <c r="L22" i="10" s="1"/>
  <c r="K21" i="10"/>
  <c r="L21" i="10" s="1"/>
  <c r="K20" i="10"/>
  <c r="L20" i="10" s="1"/>
  <c r="K19" i="10"/>
  <c r="L19" i="10" s="1"/>
  <c r="K18" i="10"/>
  <c r="L18" i="10" s="1"/>
  <c r="K16" i="10"/>
  <c r="L16" i="10" s="1"/>
  <c r="K15" i="10"/>
  <c r="L15" i="10" s="1"/>
  <c r="K14" i="10"/>
  <c r="L14" i="10" s="1"/>
  <c r="L13" i="10"/>
  <c r="L25" i="10" s="1"/>
  <c r="J55" i="10"/>
  <c r="J56" i="10"/>
  <c r="J57" i="10"/>
  <c r="J58" i="10"/>
  <c r="J59" i="10"/>
  <c r="J60" i="10"/>
  <c r="J61" i="10"/>
  <c r="J62" i="10"/>
  <c r="J63" i="10"/>
  <c r="J64" i="10"/>
  <c r="J65" i="10"/>
  <c r="J54" i="10"/>
  <c r="J30" i="10"/>
  <c r="J31" i="10"/>
  <c r="J32" i="10"/>
  <c r="J33" i="10"/>
  <c r="J34" i="10"/>
  <c r="J35" i="10"/>
  <c r="J36" i="10"/>
  <c r="J37" i="10"/>
  <c r="J38" i="10"/>
  <c r="J39" i="10"/>
  <c r="J40" i="10"/>
  <c r="J41" i="10"/>
  <c r="J42" i="10"/>
  <c r="J43" i="10"/>
  <c r="J44" i="10"/>
  <c r="J45" i="10"/>
  <c r="J46" i="10"/>
  <c r="J47" i="10"/>
  <c r="J48" i="10"/>
  <c r="J49" i="10"/>
  <c r="J29" i="10"/>
  <c r="N146" i="21"/>
  <c r="N145" i="21"/>
  <c r="M144" i="21"/>
  <c r="N144" i="21" s="1"/>
  <c r="M143" i="21"/>
  <c r="N143" i="21" s="1"/>
  <c r="M142" i="21"/>
  <c r="N142" i="21" s="1"/>
  <c r="N141" i="21"/>
  <c r="N140" i="21"/>
  <c r="N139" i="21"/>
  <c r="N138" i="21"/>
  <c r="N131" i="21"/>
  <c r="N132" i="21"/>
  <c r="N133" i="21"/>
  <c r="N134" i="21"/>
  <c r="N135" i="21"/>
  <c r="N136" i="21"/>
  <c r="N137" i="21"/>
  <c r="N130" i="21"/>
  <c r="N129" i="21"/>
  <c r="N128" i="21"/>
  <c r="N127" i="21"/>
  <c r="N126" i="21"/>
  <c r="N125" i="21"/>
  <c r="M124" i="21"/>
  <c r="N124" i="21" s="1"/>
  <c r="N122" i="21"/>
  <c r="N121" i="21"/>
  <c r="N120" i="21"/>
  <c r="N119" i="21"/>
  <c r="N53" i="21"/>
  <c r="N56" i="21"/>
  <c r="N68" i="21"/>
  <c r="N84" i="21"/>
  <c r="N92" i="21"/>
  <c r="N109" i="21"/>
  <c r="N116" i="21"/>
  <c r="M115" i="21"/>
  <c r="N115" i="21" s="1"/>
  <c r="N114" i="21"/>
  <c r="N113" i="21"/>
  <c r="M112" i="21"/>
  <c r="N112" i="21" s="1"/>
  <c r="N111" i="21"/>
  <c r="N110" i="21"/>
  <c r="N108" i="21"/>
  <c r="N107" i="21"/>
  <c r="N106" i="21"/>
  <c r="M105" i="21"/>
  <c r="N105" i="21" s="1"/>
  <c r="N104" i="21"/>
  <c r="N103" i="21"/>
  <c r="N102" i="21"/>
  <c r="N101" i="21"/>
  <c r="N100" i="21"/>
  <c r="M99" i="21"/>
  <c r="N99" i="21" s="1"/>
  <c r="N98" i="21"/>
  <c r="N97" i="21"/>
  <c r="N96" i="21"/>
  <c r="N95" i="21"/>
  <c r="N94" i="21"/>
  <c r="M93" i="21"/>
  <c r="N93" i="21" s="1"/>
  <c r="N91" i="21"/>
  <c r="N90" i="21"/>
  <c r="M89" i="21"/>
  <c r="N89" i="21" s="1"/>
  <c r="N88" i="21"/>
  <c r="N87" i="21"/>
  <c r="N86" i="21"/>
  <c r="N85" i="21"/>
  <c r="N83" i="21"/>
  <c r="N82" i="21"/>
  <c r="N81" i="21"/>
  <c r="N80" i="21"/>
  <c r="N79" i="21"/>
  <c r="N78" i="21"/>
  <c r="N77" i="21"/>
  <c r="N76" i="21"/>
  <c r="N75" i="21"/>
  <c r="N74" i="21"/>
  <c r="N73" i="21"/>
  <c r="N72" i="21"/>
  <c r="N71" i="21"/>
  <c r="N70" i="21"/>
  <c r="N69" i="21"/>
  <c r="N67" i="21"/>
  <c r="N66" i="21"/>
  <c r="N65" i="21"/>
  <c r="M64" i="21"/>
  <c r="N64" i="21" s="1"/>
  <c r="M63" i="21"/>
  <c r="N63" i="21" s="1"/>
  <c r="J62" i="21"/>
  <c r="M62" i="21"/>
  <c r="N62" i="21" s="1"/>
  <c r="N61" i="21"/>
  <c r="N60" i="21"/>
  <c r="N59" i="21"/>
  <c r="M58" i="21"/>
  <c r="N58" i="21" s="1"/>
  <c r="N57" i="21"/>
  <c r="N55" i="21"/>
  <c r="N54" i="21"/>
  <c r="M52" i="21"/>
  <c r="N52" i="21" s="1"/>
  <c r="F31" i="7" l="1"/>
  <c r="N9" i="10"/>
  <c r="F50" i="10"/>
  <c r="L67" i="10"/>
  <c r="L68" i="10" s="1"/>
  <c r="L117" i="21"/>
  <c r="L147" i="21"/>
  <c r="L50" i="10"/>
  <c r="J50" i="10"/>
  <c r="M51" i="21"/>
  <c r="N51" i="21" s="1"/>
  <c r="N50" i="21"/>
  <c r="N49" i="21"/>
  <c r="N48" i="21"/>
  <c r="N46" i="21"/>
  <c r="N45" i="21"/>
  <c r="N44" i="21"/>
  <c r="N43" i="21"/>
  <c r="M42" i="21"/>
  <c r="N42" i="21" s="1"/>
  <c r="N41" i="21"/>
  <c r="N40" i="21"/>
  <c r="N39" i="21"/>
  <c r="N38" i="21"/>
  <c r="N37" i="21"/>
  <c r="N36" i="21"/>
  <c r="N35" i="21"/>
  <c r="N34" i="21"/>
  <c r="N33" i="21"/>
  <c r="M32" i="21"/>
  <c r="N32" i="21" s="1"/>
  <c r="N31" i="21"/>
  <c r="N30" i="21"/>
  <c r="N29" i="21"/>
  <c r="N28" i="21"/>
  <c r="M27" i="21"/>
  <c r="N27" i="21" s="1"/>
  <c r="N26" i="21"/>
  <c r="N25" i="21"/>
  <c r="N24" i="21"/>
  <c r="N23" i="21"/>
  <c r="N22" i="21"/>
  <c r="N21" i="21"/>
  <c r="N20" i="21"/>
  <c r="N19" i="21"/>
  <c r="N18" i="21"/>
  <c r="N17" i="21"/>
  <c r="N16" i="21"/>
  <c r="N15" i="21"/>
  <c r="N14" i="21"/>
  <c r="N13" i="21"/>
  <c r="J13" i="21"/>
  <c r="J14" i="10"/>
  <c r="J15" i="10"/>
  <c r="J16" i="10"/>
  <c r="J17" i="10"/>
  <c r="J18" i="10"/>
  <c r="J19" i="10"/>
  <c r="J20" i="10"/>
  <c r="J21" i="10"/>
  <c r="J22" i="10"/>
  <c r="J23" i="10"/>
  <c r="J24" i="10"/>
  <c r="J13" i="10"/>
  <c r="J7" i="10"/>
  <c r="I8" i="10"/>
  <c r="F30" i="9"/>
  <c r="F51" i="14"/>
  <c r="F52" i="14"/>
  <c r="F53" i="14"/>
  <c r="F54" i="14"/>
  <c r="F55" i="14"/>
  <c r="F56" i="14"/>
  <c r="F57" i="14"/>
  <c r="F58" i="14"/>
  <c r="F41" i="14"/>
  <c r="F42" i="14"/>
  <c r="F43" i="14"/>
  <c r="F44" i="14"/>
  <c r="F45" i="14"/>
  <c r="F46" i="14"/>
  <c r="F47" i="14"/>
  <c r="F48" i="14"/>
  <c r="F49" i="14"/>
  <c r="F50" i="14"/>
  <c r="M50" i="14" s="1"/>
  <c r="F33" i="14"/>
  <c r="F34" i="14"/>
  <c r="F35" i="14"/>
  <c r="F36" i="14"/>
  <c r="F37" i="14"/>
  <c r="F38" i="14"/>
  <c r="F39" i="14"/>
  <c r="F40" i="14"/>
  <c r="F32" i="14"/>
  <c r="F26" i="14"/>
  <c r="F27" i="14"/>
  <c r="F29" i="14"/>
  <c r="F30" i="14"/>
  <c r="M30" i="14" s="1"/>
  <c r="F31" i="14"/>
  <c r="F12" i="14"/>
  <c r="F13" i="14"/>
  <c r="F14" i="14"/>
  <c r="F15" i="14"/>
  <c r="F16" i="14"/>
  <c r="F17" i="14"/>
  <c r="F18" i="14"/>
  <c r="F19" i="14"/>
  <c r="F20" i="14"/>
  <c r="F21" i="14"/>
  <c r="F22" i="14"/>
  <c r="F23" i="14"/>
  <c r="F24" i="14"/>
  <c r="F60" i="14"/>
  <c r="F61" i="14"/>
  <c r="F62" i="14"/>
  <c r="F63" i="14"/>
  <c r="F64" i="14"/>
  <c r="F65" i="14"/>
  <c r="F66" i="14"/>
  <c r="F67" i="14"/>
  <c r="F59" i="14"/>
  <c r="K66" i="14"/>
  <c r="L66" i="14" s="1"/>
  <c r="E33" i="9" s="1"/>
  <c r="F33" i="9" s="1"/>
  <c r="K61" i="14"/>
  <c r="L61" i="14" s="1"/>
  <c r="K49" i="14"/>
  <c r="L49" i="14" s="1"/>
  <c r="K41" i="14"/>
  <c r="L41" i="14" s="1"/>
  <c r="E11" i="9" s="1"/>
  <c r="K38" i="14"/>
  <c r="L38" i="14" s="1"/>
  <c r="E27" i="9" s="1"/>
  <c r="F27" i="9" s="1"/>
  <c r="K33" i="14"/>
  <c r="L33" i="14" s="1"/>
  <c r="K32" i="14"/>
  <c r="K31" i="14"/>
  <c r="L31" i="14" s="1"/>
  <c r="K29" i="14"/>
  <c r="K28" i="14"/>
  <c r="K27" i="14"/>
  <c r="K25" i="14"/>
  <c r="L25" i="14" s="1"/>
  <c r="K24" i="14"/>
  <c r="L24" i="14" s="1"/>
  <c r="E36" i="9" s="1"/>
  <c r="F36" i="9" s="1"/>
  <c r="K23" i="14"/>
  <c r="L23" i="14" s="1"/>
  <c r="K22" i="14"/>
  <c r="L22" i="14" s="1"/>
  <c r="K21" i="14"/>
  <c r="L21" i="14" s="1"/>
  <c r="K20" i="14"/>
  <c r="L20" i="14" s="1"/>
  <c r="E31" i="9" s="1"/>
  <c r="F31" i="9" s="1"/>
  <c r="K18" i="14"/>
  <c r="L18" i="14" s="1"/>
  <c r="K17" i="14"/>
  <c r="L17" i="14" s="1"/>
  <c r="K16" i="14"/>
  <c r="L16" i="14" s="1"/>
  <c r="K15" i="14"/>
  <c r="L15" i="14" s="1"/>
  <c r="K14" i="14"/>
  <c r="L14" i="14" s="1"/>
  <c r="K13" i="14"/>
  <c r="L13" i="14" s="1"/>
  <c r="K12" i="14"/>
  <c r="L12" i="14" s="1"/>
  <c r="E14" i="9" s="1"/>
  <c r="F14" i="9" s="1"/>
  <c r="K11" i="14"/>
  <c r="L11" i="14" s="1"/>
  <c r="E13" i="9" s="1"/>
  <c r="F13" i="9" s="1"/>
  <c r="H66" i="10"/>
  <c r="H65" i="10"/>
  <c r="H64" i="10"/>
  <c r="H63" i="10"/>
  <c r="H62" i="10"/>
  <c r="H61" i="10"/>
  <c r="H60" i="10"/>
  <c r="H59" i="10"/>
  <c r="H58" i="10"/>
  <c r="H57" i="10"/>
  <c r="H56" i="10"/>
  <c r="H55" i="10"/>
  <c r="H54" i="10"/>
  <c r="H49" i="10"/>
  <c r="H48" i="10"/>
  <c r="H47" i="10"/>
  <c r="H46" i="10"/>
  <c r="H45" i="10"/>
  <c r="H44" i="10"/>
  <c r="H43" i="10"/>
  <c r="H42" i="10"/>
  <c r="H41" i="10"/>
  <c r="H40" i="10"/>
  <c r="H39" i="10"/>
  <c r="H38" i="10"/>
  <c r="H37" i="10"/>
  <c r="H36" i="10"/>
  <c r="H35" i="10"/>
  <c r="H34" i="10"/>
  <c r="H33" i="10"/>
  <c r="H32" i="10"/>
  <c r="H31" i="10"/>
  <c r="H30" i="10"/>
  <c r="H29" i="10"/>
  <c r="H24" i="10"/>
  <c r="H22" i="10"/>
  <c r="H21" i="10"/>
  <c r="H20" i="10"/>
  <c r="H19" i="10"/>
  <c r="H18" i="10"/>
  <c r="H17" i="10"/>
  <c r="H16" i="10"/>
  <c r="H15" i="10"/>
  <c r="H14" i="10"/>
  <c r="H13" i="10"/>
  <c r="H7" i="10"/>
  <c r="J146" i="21"/>
  <c r="J145" i="21"/>
  <c r="J144" i="21"/>
  <c r="J143" i="21"/>
  <c r="J142" i="21"/>
  <c r="J141" i="21"/>
  <c r="J140" i="21"/>
  <c r="J139" i="21"/>
  <c r="J138" i="21"/>
  <c r="J137" i="21"/>
  <c r="J136" i="21"/>
  <c r="J135" i="21"/>
  <c r="J134" i="21"/>
  <c r="J133" i="21"/>
  <c r="J132" i="21"/>
  <c r="J131" i="21"/>
  <c r="J130" i="21"/>
  <c r="J129" i="21"/>
  <c r="J128" i="21"/>
  <c r="J127" i="21"/>
  <c r="J126" i="21"/>
  <c r="J125" i="21"/>
  <c r="J124" i="21"/>
  <c r="J123" i="21"/>
  <c r="N123" i="21" s="1"/>
  <c r="M147" i="21" s="1"/>
  <c r="J122" i="21"/>
  <c r="J121" i="21"/>
  <c r="J120" i="21"/>
  <c r="J119" i="21"/>
  <c r="J116" i="21"/>
  <c r="J115" i="21"/>
  <c r="J114" i="21"/>
  <c r="J113" i="21"/>
  <c r="J112" i="21"/>
  <c r="J111" i="21"/>
  <c r="J110" i="21"/>
  <c r="J109" i="21"/>
  <c r="J108" i="21"/>
  <c r="J107" i="21"/>
  <c r="J106" i="21"/>
  <c r="J105" i="21"/>
  <c r="J104" i="21"/>
  <c r="J103" i="21"/>
  <c r="J102" i="21"/>
  <c r="J101" i="21"/>
  <c r="J100" i="21"/>
  <c r="J99" i="21"/>
  <c r="J98" i="21"/>
  <c r="J97" i="21"/>
  <c r="J96" i="21"/>
  <c r="J95" i="21"/>
  <c r="J94" i="21"/>
  <c r="J93" i="21"/>
  <c r="J92" i="21"/>
  <c r="J91" i="21"/>
  <c r="J90" i="21"/>
  <c r="J89" i="21"/>
  <c r="J88" i="21"/>
  <c r="J87" i="21"/>
  <c r="J86" i="21"/>
  <c r="J85" i="21"/>
  <c r="J84" i="21"/>
  <c r="J83" i="21"/>
  <c r="J82" i="21"/>
  <c r="J81" i="21"/>
  <c r="J80" i="21"/>
  <c r="J79" i="21"/>
  <c r="J78" i="21"/>
  <c r="J77" i="21"/>
  <c r="J76" i="21"/>
  <c r="J75" i="21"/>
  <c r="J74" i="21"/>
  <c r="J73" i="21"/>
  <c r="J72" i="21"/>
  <c r="J71" i="21"/>
  <c r="J70" i="21"/>
  <c r="J69" i="21"/>
  <c r="J68" i="21"/>
  <c r="J67" i="21"/>
  <c r="J66" i="21"/>
  <c r="J65" i="21"/>
  <c r="J64" i="21"/>
  <c r="J63" i="21"/>
  <c r="J61" i="21"/>
  <c r="J60" i="21"/>
  <c r="J59" i="21"/>
  <c r="J58" i="21"/>
  <c r="J57" i="21"/>
  <c r="J56" i="21"/>
  <c r="J55" i="21"/>
  <c r="J54" i="21"/>
  <c r="J53" i="21"/>
  <c r="J52" i="21"/>
  <c r="J51" i="21"/>
  <c r="J50" i="21"/>
  <c r="J49" i="21"/>
  <c r="J48" i="21"/>
  <c r="I47" i="21"/>
  <c r="J46" i="21"/>
  <c r="J45" i="21"/>
  <c r="J44" i="21"/>
  <c r="J43" i="21"/>
  <c r="J42" i="21"/>
  <c r="J41" i="21"/>
  <c r="J40" i="21"/>
  <c r="J39" i="21"/>
  <c r="J38" i="21"/>
  <c r="J37" i="21"/>
  <c r="J36" i="21"/>
  <c r="J35" i="21"/>
  <c r="J34" i="21"/>
  <c r="J33" i="21"/>
  <c r="J32" i="21"/>
  <c r="J31" i="21"/>
  <c r="J30" i="21"/>
  <c r="J29" i="21"/>
  <c r="J28" i="21"/>
  <c r="J27" i="21"/>
  <c r="J26" i="21"/>
  <c r="J25" i="21"/>
  <c r="J24" i="21"/>
  <c r="J23" i="21"/>
  <c r="J22" i="21"/>
  <c r="J21" i="21"/>
  <c r="J20" i="21"/>
  <c r="J19" i="21"/>
  <c r="J18" i="21"/>
  <c r="J17" i="21"/>
  <c r="J16" i="21"/>
  <c r="J15" i="21"/>
  <c r="J14" i="21"/>
  <c r="J47" i="21" l="1"/>
  <c r="M47" i="21"/>
  <c r="F11" i="9"/>
  <c r="E20" i="9"/>
  <c r="F20" i="9" s="1"/>
  <c r="E23" i="9"/>
  <c r="F23" i="9" s="1"/>
  <c r="M49" i="14"/>
  <c r="E26" i="9"/>
  <c r="F26" i="9" s="1"/>
  <c r="M23" i="14"/>
  <c r="E35" i="9"/>
  <c r="F35" i="9" s="1"/>
  <c r="M11" i="14"/>
  <c r="E22" i="9"/>
  <c r="F22" i="9" s="1"/>
  <c r="E21" i="9"/>
  <c r="F21" i="9" s="1"/>
  <c r="M21" i="14"/>
  <c r="E32" i="9"/>
  <c r="F32" i="9" s="1"/>
  <c r="J8" i="10"/>
  <c r="L8" i="10"/>
  <c r="L9" i="10" s="1"/>
  <c r="M14" i="14"/>
  <c r="M18" i="14"/>
  <c r="M33" i="14"/>
  <c r="M61" i="14"/>
  <c r="M13" i="14"/>
  <c r="M17" i="14"/>
  <c r="M12" i="14"/>
  <c r="M22" i="14"/>
  <c r="M15" i="14"/>
  <c r="M20" i="14"/>
  <c r="M24" i="14"/>
  <c r="M38" i="14"/>
  <c r="M66" i="14"/>
  <c r="M16" i="14"/>
  <c r="M31" i="14"/>
  <c r="M41" i="14"/>
  <c r="K36" i="14"/>
  <c r="L27" i="14"/>
  <c r="K42" i="14"/>
  <c r="L42" i="14" s="1"/>
  <c r="M42" i="14" s="1"/>
  <c r="L32" i="14"/>
  <c r="K37" i="14"/>
  <c r="L28" i="14"/>
  <c r="K39" i="14"/>
  <c r="L39" i="14" s="1"/>
  <c r="M39" i="14" s="1"/>
  <c r="L29" i="14"/>
  <c r="M29" i="14" s="1"/>
  <c r="K34" i="14"/>
  <c r="L34" i="14" s="1"/>
  <c r="M34" i="14" s="1"/>
  <c r="N47" i="21"/>
  <c r="M117" i="21" s="1"/>
  <c r="N148" i="21" s="1"/>
  <c r="J9" i="10"/>
  <c r="H25" i="10"/>
  <c r="H50" i="10"/>
  <c r="J25" i="10"/>
  <c r="K26" i="14"/>
  <c r="K19" i="14"/>
  <c r="L19" i="14" s="1"/>
  <c r="K40" i="14"/>
  <c r="K43" i="14"/>
  <c r="L43" i="14" s="1"/>
  <c r="L40" i="14" l="1"/>
  <c r="M40" i="14" s="1"/>
  <c r="M19" i="14"/>
  <c r="N11" i="14" s="1"/>
  <c r="O11" i="14" s="1"/>
  <c r="G131" i="1" s="1"/>
  <c r="E29" i="9"/>
  <c r="F29" i="9" s="1"/>
  <c r="M32" i="14"/>
  <c r="E15" i="9"/>
  <c r="F15" i="9" s="1"/>
  <c r="M43" i="14"/>
  <c r="E16" i="9"/>
  <c r="F16" i="9" s="1"/>
  <c r="M28" i="14"/>
  <c r="E25" i="9"/>
  <c r="F25" i="9" s="1"/>
  <c r="M27" i="14"/>
  <c r="E24" i="9"/>
  <c r="F24" i="9" s="1"/>
  <c r="N149" i="21"/>
  <c r="C15" i="11" s="1"/>
  <c r="K48" i="14"/>
  <c r="L48" i="14" s="1"/>
  <c r="K35" i="14"/>
  <c r="L26" i="14"/>
  <c r="M26" i="14" s="1"/>
  <c r="K44" i="14"/>
  <c r="L44" i="14" s="1"/>
  <c r="M44" i="14" s="1"/>
  <c r="K47" i="14"/>
  <c r="L47" i="14" s="1"/>
  <c r="M47" i="14" s="1"/>
  <c r="L37" i="14"/>
  <c r="M37" i="14" s="1"/>
  <c r="K46" i="14"/>
  <c r="L46" i="14" s="1"/>
  <c r="M46" i="14" s="1"/>
  <c r="L36" i="14"/>
  <c r="M36" i="14" s="1"/>
  <c r="F25" i="14"/>
  <c r="E36" i="12"/>
  <c r="G43" i="7"/>
  <c r="M48" i="14" l="1"/>
  <c r="E28" i="9"/>
  <c r="F28" i="9" s="1"/>
  <c r="M25" i="14"/>
  <c r="N25" i="14" s="1"/>
  <c r="O25" i="14" s="1"/>
  <c r="K45" i="14"/>
  <c r="L45" i="14" s="1"/>
  <c r="L35" i="14"/>
  <c r="M35" i="14" s="1"/>
  <c r="N32" i="14" s="1"/>
  <c r="G42" i="18"/>
  <c r="F32" i="22"/>
  <c r="G133" i="1"/>
  <c r="E142" i="22"/>
  <c r="E145" i="22" s="1"/>
  <c r="G134" i="22"/>
  <c r="F113" i="22"/>
  <c r="F112" i="22"/>
  <c r="F111" i="22"/>
  <c r="F110" i="22"/>
  <c r="F109" i="22"/>
  <c r="F108" i="22"/>
  <c r="F98" i="22"/>
  <c r="F96" i="22"/>
  <c r="F69" i="22"/>
  <c r="F99" i="22" s="1"/>
  <c r="F54" i="22"/>
  <c r="F53" i="22"/>
  <c r="F46" i="22"/>
  <c r="G41" i="22"/>
  <c r="G40" i="22"/>
  <c r="F35" i="22"/>
  <c r="F18" i="22"/>
  <c r="M45" i="14" l="1"/>
  <c r="N41" i="14" s="1"/>
  <c r="E19" i="9"/>
  <c r="F19" i="9" s="1"/>
  <c r="G133" i="22"/>
  <c r="G43" i="22"/>
  <c r="F114" i="22"/>
  <c r="F125" i="22" s="1"/>
  <c r="G44" i="22" l="1"/>
  <c r="G46" i="22" s="1"/>
  <c r="F101" i="22"/>
  <c r="G76" i="22" l="1"/>
  <c r="G100" i="22"/>
  <c r="G113" i="22"/>
  <c r="G111" i="22"/>
  <c r="G109" i="22"/>
  <c r="G53" i="22"/>
  <c r="G52" i="22"/>
  <c r="G151" i="22"/>
  <c r="G82" i="22"/>
  <c r="G90" i="22" s="1"/>
  <c r="G110" i="22"/>
  <c r="G108" i="22"/>
  <c r="G112" i="22"/>
  <c r="G114" i="22" l="1"/>
  <c r="G125" i="22" s="1"/>
  <c r="G127" i="22" s="1"/>
  <c r="G154" i="22" s="1"/>
  <c r="G54" i="22"/>
  <c r="G88" i="22" l="1"/>
  <c r="G95" i="22"/>
  <c r="G65" i="22"/>
  <c r="G63" i="22"/>
  <c r="G66" i="22"/>
  <c r="G61" i="22"/>
  <c r="G98" i="22"/>
  <c r="G96" i="22"/>
  <c r="G62" i="22"/>
  <c r="G68" i="22"/>
  <c r="G99" i="22"/>
  <c r="G97" i="22"/>
  <c r="G64" i="22"/>
  <c r="G67" i="22"/>
  <c r="J117" i="21"/>
  <c r="J147" i="21"/>
  <c r="G69" i="22" l="1"/>
  <c r="G89" i="22" s="1"/>
  <c r="G91" i="22" s="1"/>
  <c r="G101" i="22"/>
  <c r="G153" i="22" s="1"/>
  <c r="J148" i="21"/>
  <c r="J149" i="21" s="1"/>
  <c r="D15" i="11" s="1"/>
  <c r="G152" i="22" l="1"/>
  <c r="E37" i="12"/>
  <c r="A56" i="12" l="1"/>
  <c r="A28" i="12"/>
  <c r="A54" i="12" s="1"/>
  <c r="A23" i="12"/>
  <c r="A53" i="12" s="1"/>
  <c r="A52" i="12"/>
  <c r="A13" i="12"/>
  <c r="A51" i="12" s="1"/>
  <c r="E52" i="12"/>
  <c r="G80" i="7"/>
  <c r="E17" i="7"/>
  <c r="F29" i="7" s="1"/>
  <c r="G68" i="7"/>
  <c r="G67" i="7"/>
  <c r="G66" i="7"/>
  <c r="G65" i="7"/>
  <c r="G64" i="7"/>
  <c r="E53" i="12"/>
  <c r="G47" i="7"/>
  <c r="G46" i="7"/>
  <c r="F16" i="7"/>
  <c r="A34" i="12"/>
  <c r="A55" i="12" s="1"/>
  <c r="E142" i="20"/>
  <c r="E145" i="20" s="1"/>
  <c r="G134" i="20"/>
  <c r="G133" i="20"/>
  <c r="F113" i="20"/>
  <c r="F112" i="20"/>
  <c r="F111" i="20"/>
  <c r="F110" i="20"/>
  <c r="F109" i="20"/>
  <c r="F108" i="20"/>
  <c r="F98" i="20"/>
  <c r="F96" i="20"/>
  <c r="F69" i="20"/>
  <c r="F99" i="20" s="1"/>
  <c r="F53" i="20"/>
  <c r="F54" i="20" s="1"/>
  <c r="F46" i="20"/>
  <c r="G40" i="20"/>
  <c r="G41" i="20" s="1"/>
  <c r="F35" i="20"/>
  <c r="F32" i="20"/>
  <c r="F18" i="20"/>
  <c r="E142" i="19"/>
  <c r="E145" i="19" s="1"/>
  <c r="G134" i="19"/>
  <c r="G133" i="19"/>
  <c r="F113" i="19"/>
  <c r="F112" i="19"/>
  <c r="F111" i="19"/>
  <c r="F110" i="19"/>
  <c r="F109" i="19"/>
  <c r="F108" i="19"/>
  <c r="F98" i="19"/>
  <c r="F96" i="19"/>
  <c r="F69" i="19"/>
  <c r="F99" i="19" s="1"/>
  <c r="F54" i="19"/>
  <c r="F53" i="19"/>
  <c r="F46" i="19"/>
  <c r="G40" i="19"/>
  <c r="G41" i="19" s="1"/>
  <c r="G42" i="19" s="1"/>
  <c r="G43" i="19" s="1"/>
  <c r="G44" i="19" s="1"/>
  <c r="F35" i="19"/>
  <c r="F32" i="19"/>
  <c r="F18" i="19"/>
  <c r="G134" i="17"/>
  <c r="G133" i="17"/>
  <c r="G134" i="18"/>
  <c r="G133" i="18"/>
  <c r="G134" i="15"/>
  <c r="G133" i="15"/>
  <c r="E142" i="18"/>
  <c r="E145" i="18" s="1"/>
  <c r="F113" i="18"/>
  <c r="F112" i="18"/>
  <c r="F111" i="18"/>
  <c r="F110" i="18"/>
  <c r="F109" i="18"/>
  <c r="F108" i="18"/>
  <c r="F98" i="18"/>
  <c r="F96" i="18"/>
  <c r="F69" i="18"/>
  <c r="F99" i="18" s="1"/>
  <c r="F53" i="18"/>
  <c r="F54" i="18" s="1"/>
  <c r="F46" i="18"/>
  <c r="G40" i="18"/>
  <c r="G41" i="18" s="1"/>
  <c r="F35" i="18"/>
  <c r="F32" i="18"/>
  <c r="F18" i="18"/>
  <c r="E142" i="17"/>
  <c r="E145" i="17" s="1"/>
  <c r="F113" i="17"/>
  <c r="F112" i="17"/>
  <c r="F111" i="17"/>
  <c r="F110" i="17"/>
  <c r="F109" i="17"/>
  <c r="F108" i="17"/>
  <c r="F114" i="17" s="1"/>
  <c r="F125" i="17" s="1"/>
  <c r="F98" i="17"/>
  <c r="F100" i="17" s="1"/>
  <c r="F96" i="17"/>
  <c r="F69" i="17"/>
  <c r="F99" i="17" s="1"/>
  <c r="F54" i="17"/>
  <c r="F53" i="17"/>
  <c r="F46" i="17"/>
  <c r="G40" i="17"/>
  <c r="G41" i="17" s="1"/>
  <c r="F35" i="17"/>
  <c r="F32" i="17"/>
  <c r="F18" i="17"/>
  <c r="G52" i="7" l="1"/>
  <c r="G81" i="7"/>
  <c r="F17" i="7" s="1"/>
  <c r="F101" i="17"/>
  <c r="E55" i="12"/>
  <c r="G54" i="7"/>
  <c r="F114" i="18"/>
  <c r="F125" i="18" s="1"/>
  <c r="C17" i="7"/>
  <c r="G69" i="7"/>
  <c r="G70" i="7" s="1"/>
  <c r="G16" i="7"/>
  <c r="G42" i="20"/>
  <c r="G43" i="20" s="1"/>
  <c r="G44" i="20" s="1"/>
  <c r="F100" i="20"/>
  <c r="F114" i="20"/>
  <c r="F125" i="20" s="1"/>
  <c r="F101" i="20"/>
  <c r="G46" i="19"/>
  <c r="G108" i="19" s="1"/>
  <c r="F100" i="19"/>
  <c r="F114" i="19"/>
  <c r="F125" i="19" s="1"/>
  <c r="G43" i="18"/>
  <c r="G44" i="18" s="1"/>
  <c r="F100" i="18"/>
  <c r="F101" i="18" s="1"/>
  <c r="G42" i="17"/>
  <c r="G43" i="17" s="1"/>
  <c r="G44" i="17" s="1"/>
  <c r="C16" i="7" l="1"/>
  <c r="E51" i="12"/>
  <c r="D17" i="7"/>
  <c r="F28" i="7" s="1"/>
  <c r="E54" i="12"/>
  <c r="G46" i="20"/>
  <c r="G100" i="20" s="1"/>
  <c r="G100" i="19"/>
  <c r="G113" i="19"/>
  <c r="G111" i="19"/>
  <c r="G109" i="19"/>
  <c r="G114" i="19" s="1"/>
  <c r="G125" i="19" s="1"/>
  <c r="G127" i="19" s="1"/>
  <c r="G154" i="19" s="1"/>
  <c r="G53" i="19"/>
  <c r="G52" i="19"/>
  <c r="G151" i="19"/>
  <c r="G82" i="19"/>
  <c r="G90" i="19" s="1"/>
  <c r="F101" i="19"/>
  <c r="G112" i="19"/>
  <c r="G110" i="19"/>
  <c r="G46" i="18"/>
  <c r="G46" i="17"/>
  <c r="G110" i="18" l="1"/>
  <c r="G82" i="18"/>
  <c r="G90" i="18" s="1"/>
  <c r="G53" i="18"/>
  <c r="G52" i="20"/>
  <c r="G82" i="20"/>
  <c r="G90" i="20" s="1"/>
  <c r="G151" i="20"/>
  <c r="G108" i="20"/>
  <c r="G109" i="20"/>
  <c r="G112" i="20"/>
  <c r="G113" i="20"/>
  <c r="G53" i="20"/>
  <c r="G111" i="20"/>
  <c r="G110" i="20"/>
  <c r="G54" i="19"/>
  <c r="G112" i="18"/>
  <c r="G108" i="18"/>
  <c r="G111" i="18"/>
  <c r="G100" i="18"/>
  <c r="G151" i="18"/>
  <c r="G109" i="18"/>
  <c r="G52" i="18"/>
  <c r="G54" i="18" s="1"/>
  <c r="G99" i="18" s="1"/>
  <c r="G113" i="18"/>
  <c r="G151" i="17"/>
  <c r="G90" i="17"/>
  <c r="G52" i="17"/>
  <c r="G113" i="17"/>
  <c r="G112" i="17"/>
  <c r="G53" i="17"/>
  <c r="G110" i="17"/>
  <c r="G100" i="17"/>
  <c r="G109" i="17"/>
  <c r="G111" i="17"/>
  <c r="G108" i="17"/>
  <c r="G95" i="18" l="1"/>
  <c r="G96" i="18"/>
  <c r="G88" i="18"/>
  <c r="G97" i="18"/>
  <c r="G114" i="20"/>
  <c r="G125" i="20" s="1"/>
  <c r="G127" i="20" s="1"/>
  <c r="G154" i="20" s="1"/>
  <c r="G54" i="20"/>
  <c r="G88" i="19"/>
  <c r="G95" i="19"/>
  <c r="G65" i="19"/>
  <c r="G63" i="19"/>
  <c r="G66" i="19"/>
  <c r="G61" i="19"/>
  <c r="G96" i="19"/>
  <c r="G98" i="19"/>
  <c r="G62" i="19"/>
  <c r="G68" i="19"/>
  <c r="G97" i="19"/>
  <c r="G64" i="19"/>
  <c r="G67" i="19"/>
  <c r="G99" i="19"/>
  <c r="G114" i="18"/>
  <c r="G125" i="18" s="1"/>
  <c r="G127" i="18" s="1"/>
  <c r="G98" i="18"/>
  <c r="G54" i="17"/>
  <c r="G62" i="17" s="1"/>
  <c r="G114" i="17"/>
  <c r="G125" i="17" s="1"/>
  <c r="G127" i="17" s="1"/>
  <c r="G64" i="17" s="1"/>
  <c r="G101" i="18" l="1"/>
  <c r="G153" i="18" s="1"/>
  <c r="G88" i="20"/>
  <c r="G66" i="20"/>
  <c r="G68" i="20"/>
  <c r="G98" i="20"/>
  <c r="G96" i="20"/>
  <c r="G62" i="20"/>
  <c r="G99" i="20"/>
  <c r="G65" i="20"/>
  <c r="G63" i="20"/>
  <c r="G67" i="20"/>
  <c r="G97" i="20"/>
  <c r="G95" i="20"/>
  <c r="G64" i="20"/>
  <c r="G61" i="20"/>
  <c r="G69" i="19"/>
  <c r="G89" i="19" s="1"/>
  <c r="G91" i="19" s="1"/>
  <c r="G101" i="19"/>
  <c r="G153" i="19" s="1"/>
  <c r="G66" i="18"/>
  <c r="G63" i="18"/>
  <c r="G67" i="18"/>
  <c r="G61" i="18"/>
  <c r="G154" i="18"/>
  <c r="G68" i="18"/>
  <c r="G62" i="18"/>
  <c r="G64" i="18"/>
  <c r="G65" i="18"/>
  <c r="G66" i="17"/>
  <c r="G88" i="17"/>
  <c r="G99" i="17"/>
  <c r="G96" i="17"/>
  <c r="G98" i="17"/>
  <c r="G95" i="17"/>
  <c r="G61" i="17"/>
  <c r="G97" i="17"/>
  <c r="G68" i="17"/>
  <c r="G63" i="17"/>
  <c r="G69" i="17" s="1"/>
  <c r="G89" i="17" s="1"/>
  <c r="G154" i="17"/>
  <c r="G65" i="17"/>
  <c r="G67" i="17"/>
  <c r="G91" i="17" l="1"/>
  <c r="G152" i="17" s="1"/>
  <c r="G101" i="20"/>
  <c r="G153" i="20" s="1"/>
  <c r="G69" i="20"/>
  <c r="G89" i="20" s="1"/>
  <c r="G91" i="20" s="1"/>
  <c r="G152" i="19"/>
  <c r="G69" i="18"/>
  <c r="G89" i="18" s="1"/>
  <c r="G91" i="18" s="1"/>
  <c r="G101" i="17"/>
  <c r="G153" i="17" s="1"/>
  <c r="G152" i="20" l="1"/>
  <c r="G152" i="18"/>
  <c r="E142" i="15" l="1"/>
  <c r="E145" i="15" s="1"/>
  <c r="F113" i="15"/>
  <c r="F112" i="15"/>
  <c r="F111" i="15"/>
  <c r="F110" i="15"/>
  <c r="F109" i="15"/>
  <c r="F108" i="15"/>
  <c r="F98" i="15"/>
  <c r="F96" i="15"/>
  <c r="F69" i="15"/>
  <c r="F99" i="15" s="1"/>
  <c r="F53" i="15"/>
  <c r="F54" i="15" s="1"/>
  <c r="F46" i="15"/>
  <c r="G40" i="15"/>
  <c r="G41" i="15" s="1"/>
  <c r="F35" i="15"/>
  <c r="F32" i="15"/>
  <c r="F18" i="15"/>
  <c r="K57" i="14"/>
  <c r="K51" i="14"/>
  <c r="L51" i="14" s="1"/>
  <c r="K52" i="14"/>
  <c r="G40" i="1"/>
  <c r="G41" i="1" s="1"/>
  <c r="F32" i="1"/>
  <c r="E142" i="1"/>
  <c r="E145" i="1" s="1"/>
  <c r="G134" i="1"/>
  <c r="F113" i="1"/>
  <c r="F112" i="1"/>
  <c r="F111" i="1"/>
  <c r="F110" i="1"/>
  <c r="F109" i="1"/>
  <c r="F108" i="1"/>
  <c r="F98" i="1"/>
  <c r="F100" i="1" s="1"/>
  <c r="F96" i="1"/>
  <c r="F69" i="1"/>
  <c r="F53" i="1"/>
  <c r="F54" i="1" s="1"/>
  <c r="F46" i="1"/>
  <c r="F35" i="1"/>
  <c r="F18" i="1"/>
  <c r="M51" i="14" l="1"/>
  <c r="E12" i="9"/>
  <c r="F12" i="9" s="1"/>
  <c r="K65" i="14"/>
  <c r="L65" i="14" s="1"/>
  <c r="M65" i="14" s="1"/>
  <c r="L57" i="14"/>
  <c r="M57" i="14" s="1"/>
  <c r="K59" i="14"/>
  <c r="L59" i="14" s="1"/>
  <c r="M59" i="14" s="1"/>
  <c r="L52" i="14"/>
  <c r="M52" i="14" s="1"/>
  <c r="K58" i="14"/>
  <c r="L58" i="14" s="1"/>
  <c r="F101" i="15"/>
  <c r="G42" i="15"/>
  <c r="G43" i="15" s="1"/>
  <c r="G44" i="15" s="1"/>
  <c r="F100" i="15"/>
  <c r="F114" i="15"/>
  <c r="F125" i="15" s="1"/>
  <c r="F99" i="1"/>
  <c r="F101" i="1" s="1"/>
  <c r="G42" i="1"/>
  <c r="G43" i="1" s="1"/>
  <c r="G44" i="1" s="1"/>
  <c r="F114" i="1"/>
  <c r="F125" i="1" s="1"/>
  <c r="K67" i="14" l="1"/>
  <c r="L67" i="14" s="1"/>
  <c r="M58" i="14"/>
  <c r="G135" i="1"/>
  <c r="G155" i="1" s="1"/>
  <c r="K55" i="14"/>
  <c r="G46" i="15"/>
  <c r="G46" i="1"/>
  <c r="G100" i="1"/>
  <c r="M67" i="14" l="1"/>
  <c r="E34" i="9"/>
  <c r="F34" i="9" s="1"/>
  <c r="K63" i="14"/>
  <c r="L63" i="14" s="1"/>
  <c r="M63" i="14" s="1"/>
  <c r="L55" i="14"/>
  <c r="M55" i="14" s="1"/>
  <c r="O32" i="14"/>
  <c r="G131" i="17" s="1"/>
  <c r="G135" i="17" s="1"/>
  <c r="G155" i="17" s="1"/>
  <c r="G156" i="17" s="1"/>
  <c r="K54" i="14"/>
  <c r="K53" i="14"/>
  <c r="K56" i="14"/>
  <c r="G113" i="15"/>
  <c r="G109" i="15"/>
  <c r="G53" i="15"/>
  <c r="G52" i="15"/>
  <c r="G151" i="15"/>
  <c r="G82" i="15"/>
  <c r="G90" i="15" s="1"/>
  <c r="G111" i="15"/>
  <c r="G110" i="15"/>
  <c r="G108" i="15"/>
  <c r="G112" i="15"/>
  <c r="G100" i="15"/>
  <c r="G52" i="1"/>
  <c r="G151" i="1"/>
  <c r="G112" i="1"/>
  <c r="G110" i="1"/>
  <c r="G109" i="1"/>
  <c r="G113" i="1"/>
  <c r="G53" i="1"/>
  <c r="G108" i="1"/>
  <c r="G111" i="1"/>
  <c r="K62" i="14" l="1"/>
  <c r="L62" i="14" s="1"/>
  <c r="M62" i="14" s="1"/>
  <c r="L54" i="14"/>
  <c r="M54" i="14" s="1"/>
  <c r="K64" i="14"/>
  <c r="L64" i="14" s="1"/>
  <c r="M64" i="14" s="1"/>
  <c r="L56" i="14"/>
  <c r="M56" i="14" s="1"/>
  <c r="K60" i="14"/>
  <c r="L60" i="14" s="1"/>
  <c r="M60" i="14" s="1"/>
  <c r="L53" i="14"/>
  <c r="G140" i="17"/>
  <c r="G141" i="17" s="1"/>
  <c r="G158" i="17" s="1"/>
  <c r="G131" i="20"/>
  <c r="G135" i="20" s="1"/>
  <c r="O41" i="14"/>
  <c r="G131" i="18" s="1"/>
  <c r="G135" i="18" s="1"/>
  <c r="G114" i="15"/>
  <c r="G125" i="15" s="1"/>
  <c r="G127" i="15" s="1"/>
  <c r="G154" i="15" s="1"/>
  <c r="G54" i="15"/>
  <c r="G114" i="1"/>
  <c r="G125" i="1" s="1"/>
  <c r="G127" i="1" s="1"/>
  <c r="G154" i="1" s="1"/>
  <c r="G54" i="1"/>
  <c r="M53" i="14" l="1"/>
  <c r="N51" i="14" s="1"/>
  <c r="E17" i="9"/>
  <c r="F17" i="9" s="1"/>
  <c r="E18" i="9"/>
  <c r="F18" i="9" s="1"/>
  <c r="N59" i="14"/>
  <c r="G140" i="20"/>
  <c r="G141" i="20" s="1"/>
  <c r="G155" i="20"/>
  <c r="G156" i="20" s="1"/>
  <c r="G155" i="18"/>
  <c r="G156" i="18" s="1"/>
  <c r="G140" i="18"/>
  <c r="D61" i="12"/>
  <c r="F61" i="12" s="1"/>
  <c r="G144" i="17"/>
  <c r="G143" i="17"/>
  <c r="G88" i="15"/>
  <c r="G65" i="15"/>
  <c r="G63" i="15"/>
  <c r="G62" i="15"/>
  <c r="G68" i="15"/>
  <c r="G97" i="15"/>
  <c r="G64" i="15"/>
  <c r="G66" i="15"/>
  <c r="G61" i="15"/>
  <c r="G99" i="15"/>
  <c r="G95" i="15"/>
  <c r="G98" i="15"/>
  <c r="G67" i="15"/>
  <c r="G96" i="15"/>
  <c r="G88" i="1"/>
  <c r="G68" i="1"/>
  <c r="G66" i="1"/>
  <c r="G99" i="1"/>
  <c r="G64" i="1"/>
  <c r="G67" i="1"/>
  <c r="G62" i="1"/>
  <c r="G97" i="1"/>
  <c r="G63" i="1"/>
  <c r="G65" i="1"/>
  <c r="G96" i="1"/>
  <c r="G98" i="1"/>
  <c r="G95" i="1"/>
  <c r="G61" i="1"/>
  <c r="G131" i="19" l="1"/>
  <c r="G135" i="19" s="1"/>
  <c r="F37" i="9"/>
  <c r="G158" i="20"/>
  <c r="G131" i="15"/>
  <c r="G135" i="15" s="1"/>
  <c r="G155" i="15" s="1"/>
  <c r="G135" i="22"/>
  <c r="G145" i="17"/>
  <c r="G157" i="17" s="1"/>
  <c r="G69" i="1"/>
  <c r="G89" i="1" s="1"/>
  <c r="G141" i="18"/>
  <c r="G158" i="18" s="1"/>
  <c r="G101" i="15"/>
  <c r="G153" i="15" s="1"/>
  <c r="G69" i="15"/>
  <c r="G89" i="15" s="1"/>
  <c r="G91" i="15" s="1"/>
  <c r="G101" i="1"/>
  <c r="G153" i="1" s="1"/>
  <c r="G143" i="20" l="1"/>
  <c r="D63" i="12"/>
  <c r="G155" i="19"/>
  <c r="G156" i="19" s="1"/>
  <c r="G140" i="19"/>
  <c r="F44" i="12"/>
  <c r="G44" i="12" s="1"/>
  <c r="F63" i="12"/>
  <c r="G144" i="20"/>
  <c r="G155" i="22"/>
  <c r="G156" i="22" s="1"/>
  <c r="G140" i="22"/>
  <c r="G141" i="22" s="1"/>
  <c r="G143" i="18"/>
  <c r="G144" i="18"/>
  <c r="G141" i="19"/>
  <c r="G158" i="19" s="1"/>
  <c r="G152" i="15"/>
  <c r="G156" i="15" s="1"/>
  <c r="G140" i="15"/>
  <c r="G145" i="20" l="1"/>
  <c r="G157" i="20" s="1"/>
  <c r="G158" i="22"/>
  <c r="D20" i="12" s="1"/>
  <c r="F20" i="12" s="1"/>
  <c r="G145" i="18"/>
  <c r="G157" i="18" s="1"/>
  <c r="D62" i="12"/>
  <c r="F62" i="12" s="1"/>
  <c r="F64" i="12" s="1"/>
  <c r="C13" i="11" s="1"/>
  <c r="G143" i="19"/>
  <c r="G144" i="19"/>
  <c r="G141" i="15"/>
  <c r="G158" i="15" s="1"/>
  <c r="D16" i="12" s="1"/>
  <c r="D31" i="12" l="1"/>
  <c r="F16" i="12"/>
  <c r="D25" i="12"/>
  <c r="F25" i="12" s="1"/>
  <c r="G144" i="22"/>
  <c r="G143" i="22"/>
  <c r="D13" i="11"/>
  <c r="G145" i="19"/>
  <c r="G157" i="19" s="1"/>
  <c r="G144" i="15"/>
  <c r="G143" i="15"/>
  <c r="G145" i="22" l="1"/>
  <c r="G157" i="22" s="1"/>
  <c r="F37" i="12"/>
  <c r="G37" i="12" s="1"/>
  <c r="F31" i="12"/>
  <c r="G145" i="15"/>
  <c r="G157" i="15" s="1"/>
  <c r="G82" i="1"/>
  <c r="G90" i="1" s="1"/>
  <c r="G91" i="1" s="1"/>
  <c r="G152" i="1" s="1"/>
  <c r="G156" i="1" s="1"/>
  <c r="G140" i="1" l="1"/>
  <c r="G141" i="1" l="1"/>
  <c r="G158" i="1" l="1"/>
  <c r="D15" i="12" l="1"/>
  <c r="F15" i="12" s="1"/>
  <c r="G144" i="1"/>
  <c r="G143" i="1"/>
  <c r="G145" i="1" l="1"/>
  <c r="G157" i="1" s="1"/>
  <c r="D24" i="12"/>
  <c r="F24" i="12" s="1"/>
  <c r="D19" i="12"/>
  <c r="F19" i="12" s="1"/>
  <c r="F17" i="12"/>
  <c r="C51" i="12" s="1"/>
  <c r="D30" i="12"/>
  <c r="F30" i="12" s="1"/>
  <c r="F21" i="12" l="1"/>
  <c r="C52" i="12" s="1"/>
  <c r="F26" i="12"/>
  <c r="C53" i="12" s="1"/>
  <c r="F51" i="12"/>
  <c r="F36" i="12"/>
  <c r="F32" i="12"/>
  <c r="C54" i="12" s="1"/>
  <c r="F54" i="12" s="1"/>
  <c r="F43" i="12" l="1"/>
  <c r="G43" i="12" s="1"/>
  <c r="G45" i="12" s="1"/>
  <c r="C56" i="12" s="1"/>
  <c r="F52" i="12"/>
  <c r="F53" i="12"/>
  <c r="G36" i="12"/>
  <c r="G38" i="12" s="1"/>
  <c r="C55" i="12" s="1"/>
  <c r="F56" i="12" l="1"/>
  <c r="F55" i="12"/>
  <c r="F58" i="12" l="1"/>
  <c r="C12" i="11" s="1"/>
  <c r="F65" i="12" l="1"/>
  <c r="F67" i="12" s="1"/>
  <c r="D12" i="11"/>
  <c r="C14" i="11"/>
  <c r="C17" i="11" s="1"/>
  <c r="D19" i="11" s="1"/>
  <c r="D14" i="11" l="1"/>
  <c r="D1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000-000001000000}">
      <text>
        <r>
          <rPr>
            <b/>
            <sz val="8"/>
            <color indexed="81"/>
            <rFont val="Tahoma"/>
            <family val="2"/>
          </rPr>
          <t xml:space="preserve">1,5% / 12 = 0,13%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100-000001000000}">
      <text>
        <r>
          <rPr>
            <b/>
            <sz val="8"/>
            <color indexed="81"/>
            <rFont val="Tahoma"/>
            <family val="2"/>
          </rPr>
          <t xml:space="preserve">1,5% / 12 = 0,13%
</t>
        </r>
        <r>
          <rPr>
            <sz val="8"/>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A17F5B37-A3F8-4BC2-8402-3B7B22C2C751}">
      <text>
        <r>
          <rPr>
            <b/>
            <sz val="8"/>
            <color indexed="81"/>
            <rFont val="Tahoma"/>
            <family val="2"/>
          </rPr>
          <t xml:space="preserve">1,5% / 12 = 0,13%
</t>
        </r>
        <r>
          <rPr>
            <sz val="8"/>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300-000001000000}">
      <text>
        <r>
          <rPr>
            <b/>
            <sz val="8"/>
            <color indexed="81"/>
            <rFont val="Tahoma"/>
            <family val="2"/>
          </rPr>
          <t xml:space="preserve">1,5% / 12 = 0,13%
</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200-000001000000}">
      <text>
        <r>
          <rPr>
            <b/>
            <sz val="8"/>
            <color indexed="81"/>
            <rFont val="Tahoma"/>
            <family val="2"/>
          </rPr>
          <t xml:space="preserve">1,5% / 12 = 0,13%
</t>
        </r>
        <r>
          <rPr>
            <sz val="8"/>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400-000001000000}">
      <text>
        <r>
          <rPr>
            <b/>
            <sz val="8"/>
            <color indexed="81"/>
            <rFont val="Tahoma"/>
            <family val="2"/>
          </rPr>
          <t xml:space="preserve">1,5% / 12 = 0,13%
</t>
        </r>
        <r>
          <rPr>
            <sz val="8"/>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500-000001000000}">
      <text>
        <r>
          <rPr>
            <b/>
            <sz val="8"/>
            <color indexed="81"/>
            <rFont val="Tahoma"/>
            <family val="2"/>
          </rPr>
          <t xml:space="preserve">1,5% / 12 = 0,13%
</t>
        </r>
        <r>
          <rPr>
            <sz val="8"/>
            <color indexed="81"/>
            <rFont val="Tahoma"/>
            <family val="2"/>
          </rPr>
          <t xml:space="preserve">
</t>
        </r>
      </text>
    </comment>
  </commentList>
</comments>
</file>

<file path=xl/sharedStrings.xml><?xml version="1.0" encoding="utf-8"?>
<sst xmlns="http://schemas.openxmlformats.org/spreadsheetml/2006/main" count="2470" uniqueCount="629">
  <si>
    <t>MINISTÉRIO DE MINAS E ENERGIA</t>
  </si>
  <si>
    <t>Secretaria Executiva</t>
  </si>
  <si>
    <t>Subsecretaria de Planejamento, Orçamento e Administração</t>
  </si>
  <si>
    <t>Coordenação Geral de Recursos Logísticos</t>
  </si>
  <si>
    <t>Coordenação de Atividades Gerais</t>
  </si>
  <si>
    <t>Item</t>
  </si>
  <si>
    <t>Tipo de uniforme</t>
  </si>
  <si>
    <t>Unid</t>
  </si>
  <si>
    <t>Quant Anual</t>
  </si>
  <si>
    <t>Valor (R$)</t>
  </si>
  <si>
    <t>Avental</t>
  </si>
  <si>
    <t>Peça</t>
  </si>
  <si>
    <t>Blazer feminino</t>
  </si>
  <si>
    <t>Blazer masculino</t>
  </si>
  <si>
    <t>Boné árabe</t>
  </si>
  <si>
    <t>Bota de PVC cano longo</t>
  </si>
  <si>
    <t>Par</t>
  </si>
  <si>
    <t>Bota de segurança</t>
  </si>
  <si>
    <t>Bota neoprene</t>
  </si>
  <si>
    <t>Calça masculina</t>
  </si>
  <si>
    <t>Camisa feminina</t>
  </si>
  <si>
    <t>Camisa masculina</t>
  </si>
  <si>
    <t>Camiseta malha manga curta</t>
  </si>
  <si>
    <t>Camiseta malha manga longa</t>
  </si>
  <si>
    <t>Capa de chuva</t>
  </si>
  <si>
    <t>Capa tipo motoqueiro</t>
  </si>
  <si>
    <t>Casaco de frio moletom</t>
  </si>
  <si>
    <t>Cinto masculino/feminino</t>
  </si>
  <si>
    <t xml:space="preserve">Gravata </t>
  </si>
  <si>
    <t>Lenço ou echarpe</t>
  </si>
  <si>
    <t>Macacão neoprene</t>
  </si>
  <si>
    <t>Meia</t>
  </si>
  <si>
    <t xml:space="preserve">Sapato feminino </t>
  </si>
  <si>
    <t>Sapato masculino</t>
  </si>
  <si>
    <t>VALOR TOTAL ANUAL</t>
  </si>
  <si>
    <t>Unitário</t>
  </si>
  <si>
    <t>Anual</t>
  </si>
  <si>
    <t>Categoria profissional</t>
  </si>
  <si>
    <t>Unid.</t>
  </si>
  <si>
    <t>Cota anual</t>
  </si>
  <si>
    <t>Quant. pessoas</t>
  </si>
  <si>
    <t>Total Anual</t>
  </si>
  <si>
    <t>Calça feminina</t>
  </si>
  <si>
    <t>Camisa  masculina</t>
  </si>
  <si>
    <t>Cinto feminino</t>
  </si>
  <si>
    <t>Cinto Masculino</t>
  </si>
  <si>
    <t>Gravata</t>
  </si>
  <si>
    <t>Lenço médio</t>
  </si>
  <si>
    <t>Carregador de Móveis</t>
  </si>
  <si>
    <t>Camiseta manga longa</t>
  </si>
  <si>
    <t>Casaco de frio</t>
  </si>
  <si>
    <t>Jauzeiro</t>
  </si>
  <si>
    <t>Jardineiro</t>
  </si>
  <si>
    <t>Produtos/Material</t>
  </si>
  <si>
    <t>Total</t>
  </si>
  <si>
    <t>L</t>
  </si>
  <si>
    <t>Un</t>
  </si>
  <si>
    <t>Galão</t>
  </si>
  <si>
    <t>Desentupidor de vaso sanitário</t>
  </si>
  <si>
    <t>Disco polidor branco 350</t>
  </si>
  <si>
    <t>Disco polidor branco 410</t>
  </si>
  <si>
    <t>Disco polidor branco 510</t>
  </si>
  <si>
    <t>Disco removedor preto 350</t>
  </si>
  <si>
    <t>Disco removedor preto 410</t>
  </si>
  <si>
    <t>Disco removedor preto 510</t>
  </si>
  <si>
    <t>Disco removedor verde 410</t>
  </si>
  <si>
    <t>Disco removedor verde 510</t>
  </si>
  <si>
    <t>Disco Bonnet 410</t>
  </si>
  <si>
    <t>Fd</t>
  </si>
  <si>
    <t>Pc</t>
  </si>
  <si>
    <t>Fio de Nylon para aparador/cortador de grama</t>
  </si>
  <si>
    <t>Gasolina.</t>
  </si>
  <si>
    <t>Lt</t>
  </si>
  <si>
    <t>Máscara respiratória PFF1 ksn sem válvula, cor azul. Apresentar na embalagem o C.A - Certificado de Aprovação emitido pelo Ministério do Trabalho.</t>
  </si>
  <si>
    <t>Cx</t>
  </si>
  <si>
    <t>kg</t>
  </si>
  <si>
    <t>Suporte lixa com flange 350</t>
  </si>
  <si>
    <t>Suporte lixa com flange 410</t>
  </si>
  <si>
    <t>Suporte lixa com flange 510</t>
  </si>
  <si>
    <t>Kg</t>
  </si>
  <si>
    <t>Areia Lavada.</t>
  </si>
  <si>
    <t>M²</t>
  </si>
  <si>
    <t>Muda</t>
  </si>
  <si>
    <r>
      <t>Planta ornamental Palmeira Rafis Excelsa</t>
    </r>
    <r>
      <rPr>
        <i/>
        <sz val="10"/>
        <color theme="1"/>
        <rFont val="Times New Roman"/>
        <family val="1"/>
      </rPr>
      <t xml:space="preserve"> </t>
    </r>
    <r>
      <rPr>
        <sz val="10"/>
        <color theme="1"/>
        <rFont val="Times New Roman"/>
        <family val="1"/>
      </rPr>
      <t xml:space="preserve"> muda tamanho aproximada de  1,20. Plantada  em pote de plástico.</t>
    </r>
  </si>
  <si>
    <t>Rolo</t>
  </si>
  <si>
    <t>M³</t>
  </si>
  <si>
    <t xml:space="preserve">PLANILHA DE CUSTO E FORMAÇÃO DE PREÇOS DE MÃO-DE-OBRA                                                                                                                                                                 </t>
  </si>
  <si>
    <r>
      <t>N</t>
    </r>
    <r>
      <rPr>
        <b/>
        <strike/>
        <sz val="9"/>
        <color theme="1"/>
        <rFont val="Times New Roman"/>
        <family val="1"/>
      </rPr>
      <t>º</t>
    </r>
    <r>
      <rPr>
        <b/>
        <sz val="9"/>
        <color theme="1"/>
        <rFont val="Times New Roman"/>
        <family val="1"/>
      </rPr>
      <t xml:space="preserve"> Processo: </t>
    </r>
  </si>
  <si>
    <r>
      <t>Licitação N</t>
    </r>
    <r>
      <rPr>
        <b/>
        <strike/>
        <sz val="9"/>
        <color theme="1"/>
        <rFont val="Times New Roman"/>
        <family val="1"/>
      </rPr>
      <t>º</t>
    </r>
    <r>
      <rPr>
        <b/>
        <sz val="9"/>
        <color theme="1"/>
        <rFont val="Times New Roman"/>
        <family val="1"/>
      </rPr>
      <t xml:space="preserve"> </t>
    </r>
  </si>
  <si>
    <t>Dia ___/___/_____ às ___:___ horas</t>
  </si>
  <si>
    <t>DISCRIMINAÇÃO DOS SERVIÇOS (DADOS REFERENTES À CONTRATAÇÃO)</t>
  </si>
  <si>
    <t>A</t>
  </si>
  <si>
    <t xml:space="preserve">Data de apresentação da proposta (dia/mês/ano) </t>
  </si>
  <si>
    <t>B</t>
  </si>
  <si>
    <t xml:space="preserve">Município/UF </t>
  </si>
  <si>
    <t>Brasília/DF</t>
  </si>
  <si>
    <t>C</t>
  </si>
  <si>
    <t xml:space="preserve">Ano do Acordo, Convenção ou Dissídio Coletivo  </t>
  </si>
  <si>
    <t>D</t>
  </si>
  <si>
    <r>
      <t>N</t>
    </r>
    <r>
      <rPr>
        <strike/>
        <sz val="10"/>
        <color theme="1"/>
        <rFont val="Times New Roman"/>
        <family val="1"/>
      </rPr>
      <t>º</t>
    </r>
    <r>
      <rPr>
        <sz val="10"/>
        <color theme="1"/>
        <rFont val="Times New Roman"/>
        <family val="1"/>
      </rPr>
      <t xml:space="preserve"> de meses de execução contratual</t>
    </r>
  </si>
  <si>
    <t>IDENTIFICAÇÃO DO SERVIÇO</t>
  </si>
  <si>
    <t>Tipo de Serviço</t>
  </si>
  <si>
    <t>Unidade de Medida</t>
  </si>
  <si>
    <t> Quantidade total a contratar          (em função da unidade de medida)</t>
  </si>
  <si>
    <t>Posto</t>
  </si>
  <si>
    <r>
      <rPr>
        <b/>
        <sz val="8"/>
        <color theme="1"/>
        <rFont val="Times New Roman"/>
        <family val="1"/>
      </rPr>
      <t>Nota 1:</t>
    </r>
    <r>
      <rPr>
        <sz val="8"/>
        <color theme="1"/>
        <rFont val="Times New Roman"/>
        <family val="1"/>
      </rPr>
      <t xml:space="preserve"> Esta tabela poderá ser adaptada às características do serviço contratado, inclusive no que concerne às rubricas e suas respectivas provisões e/ou estimativas, desde que haja justificativa.</t>
    </r>
  </si>
  <si>
    <r>
      <rPr>
        <b/>
        <sz val="8"/>
        <color theme="1"/>
        <rFont val="Times New Roman"/>
        <family val="1"/>
      </rPr>
      <t>Nota 2:</t>
    </r>
    <r>
      <rPr>
        <sz val="8"/>
        <color theme="1"/>
        <rFont val="Times New Roman"/>
        <family val="1"/>
      </rPr>
      <t xml:space="preserve"> As provisões constantes desta planilha poderão ser desnecessárias quando se tratar de determinados serviços que prescindam da dedicação exclusiva dos trabalhadores da contratada para com a Administração.</t>
    </r>
  </si>
  <si>
    <t>MÓDULOS</t>
  </si>
  <si>
    <t>Mão-de-obra vinculada à execução contratual</t>
  </si>
  <si>
    <t>Dados complementares para composição dos custos referente à mão-de-obra</t>
  </si>
  <si>
    <t>Tipo de serviço (mesmo serviço com características distintas)</t>
  </si>
  <si>
    <t>Classificação Brasileira de Ocupações (CBO)</t>
  </si>
  <si>
    <t>Categoria profissional (vinculada à execução contratual)</t>
  </si>
  <si>
    <r>
      <t> </t>
    </r>
    <r>
      <rPr>
        <b/>
        <sz val="9"/>
        <color theme="1"/>
        <rFont val="Times New Roman"/>
        <family val="1"/>
      </rPr>
      <t>MÓDULO 1 :   COMPOSIÇÃO DA REMUNERAÇÃO</t>
    </r>
  </si>
  <si>
    <t>Composição da Remuneração</t>
  </si>
  <si>
    <t>%</t>
  </si>
  <si>
    <t>Salário Base - 44 hs/semana</t>
  </si>
  <si>
    <r>
      <t xml:space="preserve">Adicional de Periculosidade                                                                                           </t>
    </r>
    <r>
      <rPr>
        <sz val="8"/>
        <color theme="1"/>
        <rFont val="Times New Roman"/>
        <family val="1"/>
      </rPr>
      <t xml:space="preserve">                                      </t>
    </r>
  </si>
  <si>
    <t xml:space="preserve">Adicional  de Insalubridade </t>
  </si>
  <si>
    <t>Adicional Noturno</t>
  </si>
  <si>
    <t>E</t>
  </si>
  <si>
    <t>Adicional de Hora Noturna Reduzida</t>
  </si>
  <si>
    <t>F</t>
  </si>
  <si>
    <t xml:space="preserve">Outros (especificar)                                                                                              </t>
  </si>
  <si>
    <t>Total da Remuneração</t>
  </si>
  <si>
    <r>
      <rPr>
        <b/>
        <sz val="8"/>
        <color theme="1"/>
        <rFont val="Times New Roman"/>
        <family val="1"/>
      </rPr>
      <t>Nota 1:</t>
    </r>
    <r>
      <rPr>
        <sz val="8"/>
        <color theme="1"/>
        <rFont val="Times New Roman"/>
        <family val="1"/>
      </rPr>
      <t xml:space="preserve"> O </t>
    </r>
    <r>
      <rPr>
        <b/>
        <sz val="8"/>
        <color theme="1"/>
        <rFont val="Times New Roman"/>
        <family val="1"/>
      </rPr>
      <t>Módulo 1</t>
    </r>
    <r>
      <rPr>
        <sz val="8"/>
        <color theme="1"/>
        <rFont val="Times New Roman"/>
        <family val="1"/>
      </rPr>
      <t xml:space="preserve"> refere-se ao valor mensal devido ao empregado pela prestação do serviço no período de 12 meses. </t>
    </r>
  </si>
  <si>
    <t>MÓDULO 2:   ENCARGOS E BENEFÍCIOS ANUAIS, MENSAIS E DIÁRIOS</t>
  </si>
  <si>
    <t>Submódulo 2.1 - 13º (décimo teceiro) Salário, Férias e Adicional de Férias</t>
  </si>
  <si>
    <t>2.1</t>
  </si>
  <si>
    <t>13º (décimo teceiro) Salário, Férias e Adicional de Férias</t>
  </si>
  <si>
    <t>13º (décimo terceiro) Salário</t>
  </si>
  <si>
    <t>Férias e Adicional de Férias</t>
  </si>
  <si>
    <r>
      <rPr>
        <b/>
        <sz val="8"/>
        <color theme="1"/>
        <rFont val="Times New Roman"/>
        <family val="1"/>
      </rPr>
      <t xml:space="preserve">Nota 1: </t>
    </r>
    <r>
      <rPr>
        <sz val="8"/>
        <color theme="1"/>
        <rFont val="Times New Roman"/>
        <family val="1"/>
      </rPr>
      <t>Como a planilha de custos e formação de preços é calculada mensalmente, provisiona-se proporcionalmente 1/12 (um doze avos) dos valores referentes a gratificação natalina, férias e adicional de férias.</t>
    </r>
  </si>
  <si>
    <r>
      <rPr>
        <b/>
        <sz val="8"/>
        <color theme="1"/>
        <rFont val="Times New Roman"/>
        <family val="1"/>
      </rPr>
      <t xml:space="preserve">Nota 2: </t>
    </r>
    <r>
      <rPr>
        <sz val="8"/>
        <color theme="1"/>
        <rFont val="Times New Roman"/>
        <family val="1"/>
      </rPr>
      <t>O adicional de férias contido no Submódulo 2.1 corresponde a 1/3 (um terço) da remuneração que por sua vez é divido por 12 (doze) conforme Nota 1 acima</t>
    </r>
  </si>
  <si>
    <t>Submódulo 2.2 - Encargos Previdenciários (GPS), Fundo de Garantia por Tempo de Serviço (FGTS) e outras contribuições</t>
  </si>
  <si>
    <t>2.2</t>
  </si>
  <si>
    <t>GPS, FGTS e outras contribuições</t>
  </si>
  <si>
    <t>Percentual (%)</t>
  </si>
  <si>
    <t>INSS</t>
  </si>
  <si>
    <t xml:space="preserve">Salário Educação </t>
  </si>
  <si>
    <t xml:space="preserve">SAT - Seguro de Acidente do Trabalho </t>
  </si>
  <si>
    <t>SESC ou SESI</t>
  </si>
  <si>
    <t>SENAI ou SENAC</t>
  </si>
  <si>
    <t>SEBRAE</t>
  </si>
  <si>
    <t>G</t>
  </si>
  <si>
    <t>INCRA</t>
  </si>
  <si>
    <t>H</t>
  </si>
  <si>
    <t>FGTS</t>
  </si>
  <si>
    <r>
      <rPr>
        <b/>
        <sz val="8"/>
        <color theme="1"/>
        <rFont val="Times New Roman"/>
        <family val="1"/>
      </rPr>
      <t>Nota 1:</t>
    </r>
    <r>
      <rPr>
        <sz val="8"/>
        <color theme="1"/>
        <rFont val="Times New Roman"/>
        <family val="1"/>
      </rPr>
      <t xml:space="preserve"> Os percentuais dos encargos previdenciários, do FGTS e demais contribuições são aqueles estabelecidos pela legislação vigente.</t>
    </r>
  </si>
  <si>
    <r>
      <rPr>
        <b/>
        <sz val="8"/>
        <color theme="1"/>
        <rFont val="Times New Roman"/>
        <family val="1"/>
      </rPr>
      <t xml:space="preserve">Nota 2: </t>
    </r>
    <r>
      <rPr>
        <sz val="8"/>
        <color theme="1"/>
        <rFont val="Times New Roman"/>
        <family val="1"/>
      </rPr>
      <t>O</t>
    </r>
    <r>
      <rPr>
        <b/>
        <sz val="8"/>
        <color theme="1"/>
        <rFont val="Times New Roman"/>
        <family val="1"/>
      </rPr>
      <t xml:space="preserve"> SAT</t>
    </r>
    <r>
      <rPr>
        <sz val="8"/>
        <color theme="1"/>
        <rFont val="Times New Roman"/>
        <family val="1"/>
      </rPr>
      <t xml:space="preserve"> a depender do grau de risco do serviço irá </t>
    </r>
    <r>
      <rPr>
        <b/>
        <sz val="8"/>
        <color theme="1"/>
        <rFont val="Times New Roman"/>
        <family val="1"/>
      </rPr>
      <t>variar entre 1%, para risco leve, de 2%, para risco médio, e de 3% de risco grave.</t>
    </r>
  </si>
  <si>
    <t>Nota 3: Esses percentuais incidem sobre o Módulo 1, Submódulo 2.1 e no Modulo 4 - Custo de Reposição do Profissional Ausente</t>
  </si>
  <si>
    <t>Submódulo 2.3 - Benefícios Mensais e Diários</t>
  </si>
  <si>
    <t>2.3</t>
  </si>
  <si>
    <t>Benefícios Mensais e Diários</t>
  </si>
  <si>
    <t xml:space="preserve">Auxílio Creche </t>
  </si>
  <si>
    <r>
      <rPr>
        <b/>
        <sz val="8"/>
        <color theme="1"/>
        <rFont val="Times New Roman"/>
        <family val="1"/>
      </rPr>
      <t>Nota 1:</t>
    </r>
    <r>
      <rPr>
        <sz val="8"/>
        <color theme="1"/>
        <rFont val="Times New Roman"/>
        <family val="1"/>
      </rPr>
      <t xml:space="preserve"> O valor informado deverá ser o custo real do benefício (descontado o valor eventualmente pago pelo empregado).</t>
    </r>
  </si>
  <si>
    <r>
      <rPr>
        <b/>
        <sz val="8"/>
        <color theme="1"/>
        <rFont val="Times New Roman"/>
        <family val="1"/>
      </rPr>
      <t>Nota 2:</t>
    </r>
    <r>
      <rPr>
        <sz val="8"/>
        <color theme="1"/>
        <rFont val="Times New Roman"/>
        <family val="1"/>
      </rPr>
      <t xml:space="preserve"> Observar a previsão dos benefícios contidos em Acordos, Convenções e Dissídios Coletivos de Trabalho e atentar-se ao disposto no art. 6º desta Instrução Normativa.</t>
    </r>
  </si>
  <si>
    <t>QUADRO-RESUMO DO MÓDULO 2 - ENCARGOS E BENEFÍCIOS ANUAIS, MENSAIS E DIÁRIOS</t>
  </si>
  <si>
    <t>Encargos e Benefícios Anuais, Mensais e Diários</t>
  </si>
  <si>
    <t>13º (décimo terceiro) Salário, Férias e Adicional de Férias</t>
  </si>
  <si>
    <t>MÓDULO 3 - PROVISÃO PARA RESCISÃO</t>
  </si>
  <si>
    <t>Provisão para Rescisão</t>
  </si>
  <si>
    <r>
      <rPr>
        <b/>
        <sz val="10"/>
        <color theme="1"/>
        <rFont val="Times New Roman"/>
        <family val="1"/>
      </rPr>
      <t xml:space="preserve">Aviso Prévio Indenizado                                                                                                                          </t>
    </r>
    <r>
      <rPr>
        <b/>
        <sz val="8"/>
        <color theme="1"/>
        <rFont val="Times New Roman"/>
        <family val="1"/>
      </rPr>
      <t xml:space="preserve">   </t>
    </r>
    <r>
      <rPr>
        <sz val="8"/>
        <color theme="1"/>
        <rFont val="Times New Roman"/>
        <family val="1"/>
      </rPr>
      <t xml:space="preserve"> (Estimativa: 5% dos empregados serão substituídos durante um ano)  - [(5%)/12] = 0,417%   art. 487 CLT - Sumula 305/TST, Ac.2.271/2010-TCU,  Lei nº 12506/2011.</t>
    </r>
  </si>
  <si>
    <r>
      <rPr>
        <b/>
        <sz val="10"/>
        <color theme="1"/>
        <rFont val="Times New Roman"/>
        <family val="1"/>
      </rPr>
      <t xml:space="preserve">Incidência do FGTS sobre o Aviso Prévio Indenizado </t>
    </r>
    <r>
      <rPr>
        <sz val="10"/>
        <color theme="1"/>
        <rFont val="Times New Roman"/>
        <family val="1"/>
      </rPr>
      <t>(8% x 0,417%)</t>
    </r>
  </si>
  <si>
    <r>
      <rPr>
        <b/>
        <sz val="10"/>
        <color theme="1"/>
        <rFont val="Times New Roman"/>
        <family val="1"/>
      </rPr>
      <t>Aviso Prévio Trabalhado</t>
    </r>
    <r>
      <rPr>
        <sz val="10"/>
        <color theme="1"/>
        <rFont val="Times New Roman"/>
        <family val="1"/>
      </rPr>
      <t xml:space="preserve">                                                                                                                             </t>
    </r>
    <r>
      <rPr>
        <sz val="8"/>
        <color theme="1"/>
        <rFont val="Times New Roman"/>
        <family val="1"/>
      </rPr>
      <t xml:space="preserve"> (redução de 7 dias/mes ou de 2 horas/dia, percentual relativo a contrato de 12 meses)   =   [(7/30)/12]*100=1,944%  (Ac.3006/2010-TCU; art.7º, XXI ,CF/88, 477, 487 e 491 CLT)</t>
    </r>
  </si>
  <si>
    <t>MÓDULO 4 - CUSTO DE REPOSIÇÃO DO PROFISSIONAL AUSENTE</t>
  </si>
  <si>
    <r>
      <t xml:space="preserve">Nota 1: </t>
    </r>
    <r>
      <rPr>
        <sz val="8"/>
        <color theme="1"/>
        <rFont val="Times New Roman"/>
        <family val="1"/>
      </rPr>
      <t>Os itens que contemplam o</t>
    </r>
    <r>
      <rPr>
        <b/>
        <sz val="8"/>
        <color theme="1"/>
        <rFont val="Times New Roman"/>
        <family val="1"/>
      </rPr>
      <t xml:space="preserve"> módulo 4 se referem ao custo dos dias trabalhados pelo repositor/substituto, quando </t>
    </r>
    <r>
      <rPr>
        <sz val="8"/>
        <color theme="1"/>
        <rFont val="Times New Roman"/>
        <family val="1"/>
      </rPr>
      <t>o empregado</t>
    </r>
    <r>
      <rPr>
        <b/>
        <sz val="8"/>
        <color theme="1"/>
        <rFont val="Times New Roman"/>
        <family val="1"/>
      </rPr>
      <t xml:space="preserve"> alocado na prestação de serviço estiver ausente, </t>
    </r>
    <r>
      <rPr>
        <sz val="8"/>
        <color theme="1"/>
        <rFont val="Times New Roman"/>
        <family val="1"/>
      </rPr>
      <t>conforme as previsões estabelecidas na legislação.</t>
    </r>
  </si>
  <si>
    <t xml:space="preserve">Submódulo 4.1 - Substituto nas Ausências Legais </t>
  </si>
  <si>
    <t>4.1</t>
  </si>
  <si>
    <t>Substituto nas Ausências Legais</t>
  </si>
  <si>
    <t>Substituto na cobertura de Férias</t>
  </si>
  <si>
    <r>
      <t xml:space="preserve">Substituto na cobertura de Ausências Legais </t>
    </r>
    <r>
      <rPr>
        <sz val="8"/>
        <color theme="1"/>
        <rFont val="Times New Roman"/>
        <family val="1"/>
      </rPr>
      <t>(estatística - uma/ano) = (1/12)/30</t>
    </r>
  </si>
  <si>
    <r>
      <t xml:space="preserve">Substituto na cobertura de Licença-Paternidade </t>
    </r>
    <r>
      <rPr>
        <sz val="8"/>
        <color theme="1"/>
        <rFont val="Times New Roman"/>
        <family val="1"/>
      </rPr>
      <t>(Estatística 1,5 % trabalhadores/ano)</t>
    </r>
  </si>
  <si>
    <r>
      <t>Substituto na cobertura de Ausência por Acidente de Trabalho</t>
    </r>
    <r>
      <rPr>
        <sz val="8"/>
        <color theme="1"/>
        <rFont val="Times New Roman"/>
        <family val="1"/>
      </rPr>
      <t xml:space="preserve"> (estatística IBGE - 8% por ano - 15 dias pagos pela empresa) = [(8%)/12]/2</t>
    </r>
  </si>
  <si>
    <r>
      <t xml:space="preserve">Substituto na cobertura de Afastamento Maternidade </t>
    </r>
    <r>
      <rPr>
        <sz val="8"/>
        <color theme="1"/>
        <rFont val="Times New Roman"/>
        <family val="1"/>
      </rPr>
      <t>(Estatística 1,5 % trabalhadoras/ano) = (1,5%)/12</t>
    </r>
  </si>
  <si>
    <t>Substituto na cobertura de Outras ausências (5 ausencias/por ano)</t>
  </si>
  <si>
    <r>
      <rPr>
        <b/>
        <sz val="8"/>
        <color theme="1"/>
        <rFont val="Times New Roman"/>
        <family val="1"/>
      </rPr>
      <t xml:space="preserve">Nota: </t>
    </r>
    <r>
      <rPr>
        <sz val="8"/>
        <color theme="1"/>
        <rFont val="Times New Roman"/>
        <family val="1"/>
      </rPr>
      <t>As alíneas “A” a “F” referem-se somente ao custo que será pago ao repositor pelos dias trabalhados quando da necessidade de substituir a mão de obra alocada na prestação do serviço.</t>
    </r>
  </si>
  <si>
    <t xml:space="preserve">Submódulo 4.2 - Substituto na Intrajornada </t>
  </si>
  <si>
    <t>4.2</t>
  </si>
  <si>
    <t xml:space="preserve">Substituto na Intrajornada </t>
  </si>
  <si>
    <t>Substituto na cobertura de Intervalo para repouso ou alimentação</t>
  </si>
  <si>
    <r>
      <rPr>
        <b/>
        <sz val="8"/>
        <color theme="1"/>
        <rFont val="Times New Roman"/>
        <family val="1"/>
      </rPr>
      <t xml:space="preserve">Nota: </t>
    </r>
    <r>
      <rPr>
        <sz val="8"/>
        <color theme="1"/>
        <rFont val="Times New Roman"/>
        <family val="1"/>
      </rPr>
      <t>Quando houver a necessidade de reposição de um empregado durante sua ausência nos casos de intervalo para repouso ou alimentação deve-se contemplar o Submódulo 4.2.</t>
    </r>
  </si>
  <si>
    <t xml:space="preserve">QUADRO-RESUMO DO MÓDULO 4 - CUSTO DE REPOSIÇÃO DO PROFISSIONAL AUSENTE </t>
  </si>
  <si>
    <t>Custo de Reposição do Profissional Ausente</t>
  </si>
  <si>
    <t xml:space="preserve">Substituto nas Ausências Legais </t>
  </si>
  <si>
    <t>MÓDULO 5 - INSUMOS DIVERSOS</t>
  </si>
  <si>
    <t>Insumos Diversos</t>
  </si>
  <si>
    <t>Uniformes</t>
  </si>
  <si>
    <t>Materiais (mediante planilha a parte, na forma de ressarcimento)</t>
  </si>
  <si>
    <r>
      <rPr>
        <b/>
        <sz val="8"/>
        <color theme="1"/>
        <rFont val="Times New Roman"/>
        <family val="1"/>
      </rPr>
      <t xml:space="preserve">Nota: </t>
    </r>
    <r>
      <rPr>
        <sz val="8"/>
        <color theme="1"/>
        <rFont val="Times New Roman"/>
        <family val="1"/>
      </rPr>
      <t>Valores mensais por empregado</t>
    </r>
  </si>
  <si>
    <t>MÓDULO 6 - CUSTOS INDIRETOS, TRIBUTOS E LUCRO</t>
  </si>
  <si>
    <t>Custos Indiretos, Tributos e Lucro</t>
  </si>
  <si>
    <t>Custos Indiretos</t>
  </si>
  <si>
    <t xml:space="preserve">Lucro  (Estudo TCU - TC 025.990/2008-2) </t>
  </si>
  <si>
    <t>Tributos</t>
  </si>
  <si>
    <r>
      <rPr>
        <b/>
        <sz val="10"/>
        <color theme="1"/>
        <rFont val="Times New Roman"/>
        <family val="1"/>
      </rPr>
      <t>C.1.</t>
    </r>
    <r>
      <rPr>
        <sz val="10"/>
        <color theme="1"/>
        <rFont val="Times New Roman"/>
        <family val="1"/>
      </rPr>
      <t xml:space="preserve"> Tributos Federais - PIS (0,65% ) + COFINS (3,00)</t>
    </r>
  </si>
  <si>
    <r>
      <rPr>
        <b/>
        <sz val="10"/>
        <color theme="1"/>
        <rFont val="Times New Roman"/>
        <family val="1"/>
      </rPr>
      <t>C.2.</t>
    </r>
    <r>
      <rPr>
        <sz val="10"/>
        <color theme="1"/>
        <rFont val="Times New Roman"/>
        <family val="1"/>
      </rPr>
      <t xml:space="preserve"> Tributos Estaduais  - ISS (5%) (Distrito Federal)</t>
    </r>
  </si>
  <si>
    <r>
      <rPr>
        <b/>
        <sz val="8"/>
        <color theme="1"/>
        <rFont val="Times New Roman"/>
        <family val="1"/>
      </rPr>
      <t xml:space="preserve">Nota 1: </t>
    </r>
    <r>
      <rPr>
        <sz val="8"/>
        <color theme="1"/>
        <rFont val="Times New Roman"/>
        <family val="1"/>
      </rPr>
      <t>Custos Indiretos, Tributos e Lucro por empregado</t>
    </r>
  </si>
  <si>
    <r>
      <rPr>
        <b/>
        <sz val="8"/>
        <color theme="1"/>
        <rFont val="Times New Roman"/>
        <family val="1"/>
      </rPr>
      <t xml:space="preserve">Nota 2: </t>
    </r>
    <r>
      <rPr>
        <sz val="8"/>
        <color theme="1"/>
        <rFont val="Times New Roman"/>
        <family val="1"/>
      </rPr>
      <t>O valor referente a tributos é obtido aplicando-se o percentual sobre o valor do faturamento.</t>
    </r>
  </si>
  <si>
    <t>2. QUADRO-RESUMO DO CUSTO POR EMPREGADO</t>
  </si>
  <si>
    <t>Mão-de-obra vinculada à execução contratual (valor por empregado)</t>
  </si>
  <si>
    <t>(R$)</t>
  </si>
  <si>
    <r>
      <rPr>
        <b/>
        <sz val="10"/>
        <color theme="1"/>
        <rFont val="Times New Roman"/>
        <family val="1"/>
      </rPr>
      <t>Módulo 1</t>
    </r>
    <r>
      <rPr>
        <sz val="10"/>
        <color theme="1"/>
        <rFont val="Times New Roman"/>
        <family val="1"/>
      </rPr>
      <t xml:space="preserve"> – Composição da Remuneração</t>
    </r>
  </si>
  <si>
    <r>
      <rPr>
        <b/>
        <sz val="10"/>
        <color theme="1"/>
        <rFont val="Times New Roman"/>
        <family val="1"/>
      </rPr>
      <t xml:space="preserve">Módulo 2 </t>
    </r>
    <r>
      <rPr>
        <sz val="10"/>
        <color theme="1"/>
        <rFont val="Times New Roman"/>
        <family val="1"/>
      </rPr>
      <t>– Encargos e Benefícios Anuais, Mensais e Diários</t>
    </r>
  </si>
  <si>
    <r>
      <rPr>
        <b/>
        <sz val="10"/>
        <color theme="1"/>
        <rFont val="Times New Roman"/>
        <family val="1"/>
      </rPr>
      <t>Módulo 3</t>
    </r>
    <r>
      <rPr>
        <sz val="10"/>
        <color theme="1"/>
        <rFont val="Times New Roman"/>
        <family val="1"/>
      </rPr>
      <t xml:space="preserve"> – Provisão para Rescisão</t>
    </r>
  </si>
  <si>
    <r>
      <rPr>
        <b/>
        <sz val="10"/>
        <color theme="1"/>
        <rFont val="Times New Roman"/>
        <family val="1"/>
      </rPr>
      <t>Módulo 4</t>
    </r>
    <r>
      <rPr>
        <sz val="10"/>
        <color theme="1"/>
        <rFont val="Times New Roman"/>
        <family val="1"/>
      </rPr>
      <t xml:space="preserve"> – Custo de Reposição do Profissional Ausente</t>
    </r>
  </si>
  <si>
    <r>
      <rPr>
        <b/>
        <sz val="10"/>
        <color theme="1"/>
        <rFont val="Times New Roman"/>
        <family val="1"/>
      </rPr>
      <t xml:space="preserve">Módulo 5 </t>
    </r>
    <r>
      <rPr>
        <sz val="10"/>
        <color theme="1"/>
        <rFont val="Times New Roman"/>
        <family val="1"/>
      </rPr>
      <t>- Insumos Diversos</t>
    </r>
  </si>
  <si>
    <t>Subtotal (A + B +C+ D+E)</t>
  </si>
  <si>
    <r>
      <rPr>
        <b/>
        <sz val="10"/>
        <color theme="1"/>
        <rFont val="Times New Roman"/>
        <family val="1"/>
      </rPr>
      <t>Módulo 6</t>
    </r>
    <r>
      <rPr>
        <sz val="10"/>
        <color theme="1"/>
        <rFont val="Times New Roman"/>
        <family val="1"/>
      </rPr>
      <t xml:space="preserve"> – Custos Indiretos, Tributos e Lucro</t>
    </r>
  </si>
  <si>
    <t>Valor total por empregado</t>
  </si>
  <si>
    <t>Prestação de Serviços Contínuos de limpeza, conservação e asseio de bens móveis e imóveis, com dedicação exclusiva de mão, com fornecimento de materiais por demanda (mediante ressarcimento) e dos equipamentos/ferramentas necessários à realização dos serviços, no âmbito do Ministério de Minas e Energia, Bloco U, Esplanada dos Ministérios, em Brasília/DF.</t>
  </si>
  <si>
    <t>Encarregado(a) de Limpeza</t>
  </si>
  <si>
    <t>4101-05</t>
  </si>
  <si>
    <t>01 de janeiro</t>
  </si>
  <si>
    <r>
      <rPr>
        <b/>
        <sz val="10"/>
        <color theme="1"/>
        <rFont val="Times New Roman"/>
        <family val="1"/>
      </rPr>
      <t>Multa do FGTS sobre o Aviso Prévio Trabalhado</t>
    </r>
    <r>
      <rPr>
        <sz val="10"/>
        <color theme="1"/>
        <rFont val="Times New Roman"/>
        <family val="1"/>
      </rPr>
      <t xml:space="preserve"> </t>
    </r>
    <r>
      <rPr>
        <sz val="8"/>
        <color theme="1"/>
        <rFont val="Times New Roman"/>
        <family val="1"/>
      </rPr>
      <t>(40% x 1,944%)</t>
    </r>
  </si>
  <si>
    <r>
      <rPr>
        <b/>
        <sz val="10"/>
        <color theme="1"/>
        <rFont val="Times New Roman"/>
        <family val="1"/>
      </rPr>
      <t xml:space="preserve">Incidência dos encargos do Submódulo 2.2 </t>
    </r>
    <r>
      <rPr>
        <sz val="10"/>
        <color theme="1"/>
        <rFont val="Times New Roman"/>
        <family val="1"/>
      </rPr>
      <t>sobre o Aviso Prévio Trabalhado</t>
    </r>
    <r>
      <rPr>
        <sz val="8"/>
        <color theme="1"/>
        <rFont val="Times New Roman"/>
        <family val="1"/>
      </rPr>
      <t xml:space="preserve"> (36,8% x 1,944%)</t>
    </r>
  </si>
  <si>
    <t>Total Mensal/Funcionário</t>
  </si>
  <si>
    <t/>
  </si>
  <si>
    <t>Servente de Limpeza</t>
  </si>
  <si>
    <t>5143-20</t>
  </si>
  <si>
    <t>Materiais de Consumo (mediante planilha a parte, na forma de ressarcimento)</t>
  </si>
  <si>
    <t>Descrição</t>
  </si>
  <si>
    <t>Quant. Anual</t>
  </si>
  <si>
    <r>
      <t xml:space="preserve">APENDICE  12 - </t>
    </r>
    <r>
      <rPr>
        <b/>
        <sz val="12"/>
        <color theme="1"/>
        <rFont val="Times New Roman"/>
        <family val="1"/>
      </rPr>
      <t>PLANILHA DE CUSTO DE EQUIPAMENTOS/FERRAMENTAS DE USO GERAL E POR CATEGORIA</t>
    </r>
  </si>
  <si>
    <t xml:space="preserve"> </t>
  </si>
  <si>
    <r>
      <t xml:space="preserve">Diluidor para líquidos concentrados - </t>
    </r>
    <r>
      <rPr>
        <sz val="10"/>
        <color theme="1"/>
        <rFont val="Times New Roman"/>
        <family val="1"/>
      </rPr>
      <t>Sistema de diluição do tipo venturi, com acionamento de vávula, com 3 saidas para diluição de três produtos respectivamente. Modelo DHD - Dosimax/Tron ou similar</t>
    </r>
  </si>
  <si>
    <r>
      <t xml:space="preserve">Relógio de ponto Biométrico  Control iD Class (Biometria, senha + TCP-IP) REP iDClass - </t>
    </r>
    <r>
      <rPr>
        <sz val="10"/>
        <color theme="1"/>
        <rFont val="Times New Roman"/>
        <family val="1"/>
      </rPr>
      <t>incluso software para controle do ponto, treinamento, instalação, configuração do equipamento e bobina de papel. Homologado pelo Ministério do Trabalho e Emprego, segundo normas da Portaria 1510/2009.</t>
    </r>
  </si>
  <si>
    <r>
      <t>Abraçadeiras para  mangueira</t>
    </r>
    <r>
      <rPr>
        <sz val="10"/>
        <color theme="1"/>
        <rFont val="Times New Roman"/>
        <family val="1"/>
      </rPr>
      <t xml:space="preserve"> ¾, em aço carbono.</t>
    </r>
  </si>
  <si>
    <r>
      <t xml:space="preserve">Alicate universal 8” </t>
    </r>
    <r>
      <rPr>
        <sz val="10"/>
        <color theme="1"/>
        <rFont val="Times New Roman"/>
        <family val="1"/>
      </rPr>
      <t>em aço carbono especial forjado e temperado. Tramontina ou similar.</t>
    </r>
  </si>
  <si>
    <r>
      <t>Balancim individual,</t>
    </r>
    <r>
      <rPr>
        <sz val="10"/>
        <color theme="1"/>
        <rFont val="Times New Roman"/>
        <family val="1"/>
      </rPr>
      <t xml:space="preserve"> cadeira suspensa por cabo de aço, utilizada para lavagem de fachadas, capacidade de carga 120 kg, incluso o peso do operador, sistema de freio absoluto pluss, com banco de fibra. Atende a NR 18 do Ministério do Trabalho. </t>
    </r>
  </si>
  <si>
    <r>
      <t xml:space="preserve">Cabo de aço </t>
    </r>
    <r>
      <rPr>
        <sz val="10"/>
        <color theme="1"/>
        <rFont val="Times New Roman"/>
        <family val="1"/>
      </rPr>
      <t>galvanizado ¼” (6,4 mm) 6x19 AA. Fornecimento: em metros.</t>
    </r>
  </si>
  <si>
    <t>M</t>
  </si>
  <si>
    <r>
      <t xml:space="preserve">Capacete, </t>
    </r>
    <r>
      <rPr>
        <sz val="10"/>
        <color theme="1"/>
        <rFont val="Times New Roman"/>
        <family val="1"/>
      </rPr>
      <t>de Segurança, tipo Aba Frontal,  Classe B, com nervura no casco e com fendas laterais para acoplagem de acessórios, cor amarela, protetor auditivo e protetor facial, com suspensão e carneira plástica, regulagem de tamanho com ajuste simples e tira absorvedora de suor em espuma coberta de material sintético, com ou sem jugular ajustável, confeccionada em tira de tecido sintético e fixada na carneira e/ou separada com fechamento com velcro. De acordo com as normas da ABNT e certificação junto ao INMETRO.</t>
    </r>
  </si>
  <si>
    <r>
      <t>Chave de fenda,</t>
    </r>
    <r>
      <rPr>
        <sz val="10"/>
        <color theme="1"/>
        <rFont val="Times New Roman"/>
        <family val="1"/>
      </rPr>
      <t xml:space="preserve"> tamanho média. Tramontina ou similar.</t>
    </r>
  </si>
  <si>
    <r>
      <t xml:space="preserve">Cinto de segurança tipo paraquedista, </t>
    </r>
    <r>
      <rPr>
        <sz val="10"/>
        <color theme="1"/>
        <rFont val="Times New Roman"/>
        <family val="1"/>
      </rPr>
      <t xml:space="preserve">cinturão de segurança tipo paraquedista, confeccionado em cadarço de material sintético (poliéster) na </t>
    </r>
    <r>
      <rPr>
        <b/>
        <sz val="10"/>
        <color theme="1"/>
        <rFont val="Times New Roman"/>
        <family val="1"/>
      </rPr>
      <t>cor laranja e preta</t>
    </r>
    <r>
      <rPr>
        <sz val="10"/>
        <color theme="1"/>
        <rFont val="Times New Roman"/>
        <family val="1"/>
      </rPr>
      <t>, dotado de 05 fivelas duplas sem pino, confeccionados em aço, sendo 01 para ajuste na correia de cintura, 02 utilizadas para ajuste das pernas e duas utilizadas para ajuste do suspensório. Possui uma meia-argola em d, em aço estampado, sendo fixa ao cinto através de costura reforçada. Possui 02 laços frontais de material sintético, utilizados para ancoragem e está localizados na altura do peito. De acordo com as normas da  ABNT.</t>
    </r>
  </si>
  <si>
    <r>
      <t xml:space="preserve">Corda para rapel estática 12mm, </t>
    </r>
    <r>
      <rPr>
        <sz val="10"/>
        <color theme="1"/>
        <rFont val="Times New Roman"/>
        <family val="1"/>
      </rPr>
      <t>rolo com 100 metros.</t>
    </r>
  </si>
  <si>
    <t xml:space="preserve">Rolo </t>
  </si>
  <si>
    <r>
      <t xml:space="preserve">Extensão telescópica, </t>
    </r>
    <r>
      <rPr>
        <sz val="10"/>
        <color theme="1"/>
        <rFont val="Times New Roman"/>
        <family val="1"/>
      </rPr>
      <t>para alcance de 6m, com 3 estágios de 2 mt, fabricado em alumínio anodizado.</t>
    </r>
  </si>
  <si>
    <r>
      <t xml:space="preserve">Mangueira ¾” trançada flexivel cristal, </t>
    </r>
    <r>
      <rPr>
        <sz val="10"/>
        <color theme="1"/>
        <rFont val="Times New Roman"/>
        <family val="1"/>
      </rPr>
      <t xml:space="preserve">siliconada,  em </t>
    </r>
    <r>
      <rPr>
        <b/>
        <sz val="10"/>
        <color theme="1"/>
        <rFont val="Times New Roman"/>
        <family val="1"/>
      </rPr>
      <t xml:space="preserve"> </t>
    </r>
    <r>
      <rPr>
        <sz val="10"/>
        <color theme="1"/>
        <rFont val="Times New Roman"/>
        <family val="1"/>
      </rPr>
      <t>polipropileno com diâmetro ¾” x 2,5 mm, rolo com 50 metros.</t>
    </r>
  </si>
  <si>
    <r>
      <t xml:space="preserve">Mosquetão tipo D oval, </t>
    </r>
    <r>
      <rPr>
        <sz val="10"/>
        <color theme="1"/>
        <rFont val="Times New Roman"/>
        <family val="1"/>
      </rPr>
      <t>de aço com rosca MOAC-R-25-GV, forjado em aço Carbono com trava dupla roscada.</t>
    </r>
  </si>
  <si>
    <r>
      <t xml:space="preserve">Trava queda, </t>
    </r>
    <r>
      <rPr>
        <sz val="10"/>
        <color theme="1"/>
        <rFont val="Times New Roman"/>
        <family val="1"/>
      </rPr>
      <t>para cabo de corda estática</t>
    </r>
    <r>
      <rPr>
        <b/>
        <sz val="10"/>
        <color theme="1"/>
        <rFont val="Times New Roman"/>
        <family val="1"/>
      </rPr>
      <t xml:space="preserve"> </t>
    </r>
    <r>
      <rPr>
        <sz val="10"/>
        <color theme="1"/>
        <rFont val="Times New Roman"/>
        <family val="1"/>
      </rPr>
      <t>de</t>
    </r>
    <r>
      <rPr>
        <b/>
        <sz val="10"/>
        <color theme="1"/>
        <rFont val="Times New Roman"/>
        <family val="1"/>
      </rPr>
      <t xml:space="preserve"> </t>
    </r>
    <r>
      <rPr>
        <sz val="10"/>
        <color theme="1"/>
        <rFont val="Times New Roman"/>
        <family val="1"/>
      </rPr>
      <t xml:space="preserve"> 12mm, em aço carbono, alavanca de posicionamento, para subir e descer livremente, duplo travamento no corpo. </t>
    </r>
  </si>
  <si>
    <r>
      <t>Aparador de grama</t>
    </r>
    <r>
      <rPr>
        <sz val="10"/>
        <color theme="1"/>
        <rFont val="Times New Roman"/>
        <family val="1"/>
      </rPr>
      <t xml:space="preserve"> Elétrico Trapp 700W220v</t>
    </r>
  </si>
  <si>
    <r>
      <t>Carrinho de mão</t>
    </r>
    <r>
      <rPr>
        <sz val="10"/>
        <color theme="1"/>
        <rFont val="Times New Roman"/>
        <family val="1"/>
      </rPr>
      <t>, caçamba metálica chapa 18, com capacidade para no mínimo 60 litros, roda em aro de disco e pneu com câmara de ar, braço com tubos inteiriços, cor preto. Tramontina ou similar.</t>
    </r>
  </si>
  <si>
    <r>
      <t>Cortador de Grama Elétrico</t>
    </r>
    <r>
      <rPr>
        <sz val="10"/>
        <color theme="1"/>
        <rFont val="Times New Roman"/>
        <family val="1"/>
      </rPr>
      <t xml:space="preserve"> Sl-30T 1100W 220v- Trapp</t>
    </r>
  </si>
  <si>
    <r>
      <t>Enxada,</t>
    </r>
    <r>
      <rPr>
        <sz val="10"/>
        <color theme="1"/>
        <rFont val="Times New Roman"/>
        <family val="1"/>
      </rPr>
      <t xml:space="preserve"> largura média 25 cm, com cabo. Tramontina ou similar.</t>
    </r>
  </si>
  <si>
    <r>
      <t>Extensão elétrica completa,</t>
    </r>
    <r>
      <rPr>
        <sz val="10"/>
        <color theme="1"/>
        <rFont val="Times New Roman"/>
        <family val="1"/>
      </rPr>
      <t xml:space="preserve"> com 50 m cabo PP – 2 x 1.5 mm – com 3 tomadas de pólos mais terra.</t>
    </r>
  </si>
  <si>
    <r>
      <t xml:space="preserve">Espigão em metal,  </t>
    </r>
    <r>
      <rPr>
        <sz val="10"/>
        <color theme="1"/>
        <rFont val="Times New Roman"/>
        <family val="1"/>
      </rPr>
      <t>para adaptar  mangueira de ¾.</t>
    </r>
  </si>
  <si>
    <r>
      <t>Facão</t>
    </r>
    <r>
      <rPr>
        <sz val="10"/>
        <color theme="1"/>
        <rFont val="Times New Roman"/>
        <family val="1"/>
      </rPr>
      <t xml:space="preserve"> </t>
    </r>
    <r>
      <rPr>
        <b/>
        <sz val="10"/>
        <color theme="1"/>
        <rFont val="Times New Roman"/>
        <family val="1"/>
      </rPr>
      <t>20 polegadas</t>
    </r>
    <r>
      <rPr>
        <sz val="10"/>
        <color theme="1"/>
        <rFont val="Times New Roman"/>
        <family val="1"/>
      </rPr>
      <t>, com cabo de madeira. Vonder ou similar.</t>
    </r>
  </si>
  <si>
    <r>
      <t>Lima</t>
    </r>
    <r>
      <rPr>
        <sz val="10"/>
        <color theme="1"/>
        <rFont val="Times New Roman"/>
        <family val="1"/>
      </rPr>
      <t xml:space="preserve"> para amolar enxada. Stareett ou similar.</t>
    </r>
  </si>
  <si>
    <r>
      <t xml:space="preserve">Machado lenhador 3,5 lb, </t>
    </r>
    <r>
      <rPr>
        <sz val="10"/>
        <color theme="1"/>
        <rFont val="Times New Roman"/>
        <family val="1"/>
      </rPr>
      <t>com cabo.</t>
    </r>
    <r>
      <rPr>
        <b/>
        <sz val="10"/>
        <color theme="1"/>
        <rFont val="Times New Roman"/>
        <family val="1"/>
      </rPr>
      <t xml:space="preserve"> </t>
    </r>
  </si>
  <si>
    <r>
      <t xml:space="preserve">Mangueira ¾” trançada em duas camadas, </t>
    </r>
    <r>
      <rPr>
        <sz val="10"/>
        <color theme="1"/>
        <rFont val="Times New Roman"/>
        <family val="1"/>
      </rPr>
      <t xml:space="preserve"> uma camada  interna de PVC, espessura de 20mm, rolo com 50 metros.</t>
    </r>
  </si>
  <si>
    <r>
      <t>Pá de bico,</t>
    </r>
    <r>
      <rPr>
        <sz val="10"/>
        <color theme="1"/>
        <rFont val="Times New Roman"/>
        <family val="1"/>
      </rPr>
      <t xml:space="preserve"> com cabo. Tramontina ou similar.</t>
    </r>
  </si>
  <si>
    <r>
      <t>Pulverizador costal,</t>
    </r>
    <r>
      <rPr>
        <sz val="10"/>
        <color theme="1"/>
        <rFont val="Times New Roman"/>
        <family val="1"/>
      </rPr>
      <t xml:space="preserve"> manual, de alavanca, amarelo, capacidade 20 litros. Guarany ou similar.</t>
    </r>
  </si>
  <si>
    <r>
      <t>Pulverizador spray de pressão</t>
    </r>
    <r>
      <rPr>
        <sz val="10"/>
        <color theme="1"/>
        <rFont val="Times New Roman"/>
        <family val="1"/>
      </rPr>
      <t xml:space="preserve"> capacidade 1,5 litros. Guarany ou similar.</t>
    </r>
  </si>
  <si>
    <r>
      <t>Rastelo de plástico ancinho,</t>
    </r>
    <r>
      <rPr>
        <sz val="10"/>
        <color theme="1"/>
        <rFont val="Times New Roman"/>
        <family val="1"/>
      </rPr>
      <t xml:space="preserve"> com cabo, para varredura de gramados.</t>
    </r>
  </si>
  <si>
    <r>
      <t>Regador de plástico</t>
    </r>
    <r>
      <rPr>
        <sz val="10"/>
        <color theme="1"/>
        <rFont val="Times New Roman"/>
        <family val="1"/>
      </rPr>
      <t xml:space="preserve">, capacidade 10 litros. </t>
    </r>
  </si>
  <si>
    <r>
      <t>Sacho coração,</t>
    </r>
    <r>
      <rPr>
        <sz val="10"/>
        <color theme="1"/>
        <rFont val="Times New Roman"/>
        <family val="1"/>
      </rPr>
      <t xml:space="preserve"> com cabo de madeira de 43cm. Tramontina ou similar.</t>
    </r>
  </si>
  <si>
    <r>
      <t>Tesoura de podar,</t>
    </r>
    <r>
      <rPr>
        <sz val="10"/>
        <color theme="1"/>
        <rFont val="Times New Roman"/>
        <family val="1"/>
      </rPr>
      <t xml:space="preserve"> para podas. Tramontina ou similar.</t>
    </r>
  </si>
  <si>
    <t>12.4  -  SERVENTE</t>
  </si>
  <si>
    <r>
      <t xml:space="preserve">Aspirador de água e pó Profissional </t>
    </r>
    <r>
      <rPr>
        <sz val="10"/>
        <color theme="1"/>
        <rFont val="Times New Roman"/>
        <family val="1"/>
      </rPr>
      <t>Electrolux</t>
    </r>
    <r>
      <rPr>
        <b/>
        <sz val="10"/>
        <color theme="1"/>
        <rFont val="Times New Roman"/>
        <family val="1"/>
      </rPr>
      <t xml:space="preserve"> </t>
    </r>
    <r>
      <rPr>
        <sz val="10"/>
        <color theme="1"/>
        <rFont val="Times New Roman"/>
        <family val="1"/>
      </rPr>
      <t>GT 3000 Pro 1300 W</t>
    </r>
    <r>
      <rPr>
        <b/>
        <sz val="10"/>
        <color theme="1"/>
        <rFont val="Times New Roman"/>
        <family val="1"/>
      </rPr>
      <t>.</t>
    </r>
  </si>
  <si>
    <r>
      <t>Carro funcional América</t>
    </r>
    <r>
      <rPr>
        <sz val="10"/>
        <color theme="1"/>
        <rFont val="Times New Roman"/>
        <family val="1"/>
      </rPr>
      <t xml:space="preserve"> com uma bolsa, comprimento: 116cm, largura: 57cm, altura: 100cm, Peso: 18kg</t>
    </r>
  </si>
  <si>
    <r>
      <t>Cavalete sinalização</t>
    </r>
    <r>
      <rPr>
        <sz val="10"/>
        <color theme="1"/>
        <rFont val="Times New Roman"/>
        <family val="1"/>
      </rPr>
      <t xml:space="preserve"> de piso molhado, em PVC, indicação de piso molhado, cor amarelo.</t>
    </r>
  </si>
  <si>
    <t>Enceradeira Industrial DC350 Plus 350mm - Deep Clean</t>
  </si>
  <si>
    <t>Enceradeira Industrial DC410 Plus 410mm - Deep Clean</t>
  </si>
  <si>
    <t>Enceradeira Industrial DC510 Plus 510mm - Deep Clean</t>
  </si>
  <si>
    <t>Escada em alumínio com 6 degraus.</t>
  </si>
  <si>
    <r>
      <t>Escada extensiva</t>
    </r>
    <r>
      <rPr>
        <sz val="10"/>
        <color theme="1"/>
        <rFont val="Times New Roman"/>
        <family val="1"/>
      </rPr>
      <t xml:space="preserve"> em alumínio com 19 degraus</t>
    </r>
  </si>
  <si>
    <r>
      <t>Extensão elétrica completa,</t>
    </r>
    <r>
      <rPr>
        <sz val="10"/>
        <color theme="1"/>
        <rFont val="Times New Roman"/>
        <family val="1"/>
      </rPr>
      <t xml:space="preserve"> com 30 m cabo PP – 2 x 1.5 mm – com 3 tomadas de pólos mais terra.</t>
    </r>
  </si>
  <si>
    <r>
      <t xml:space="preserve">Extrator e Aspirador de Pó e Líquidos </t>
    </r>
    <r>
      <rPr>
        <sz val="10"/>
        <color theme="1"/>
        <rFont val="Times New Roman"/>
        <family val="1"/>
      </rPr>
      <t xml:space="preserve">- </t>
    </r>
    <r>
      <rPr>
        <b/>
        <sz val="10"/>
        <color theme="1"/>
        <rFont val="Times New Roman"/>
        <family val="1"/>
      </rPr>
      <t>IPC SOTECO-EA262</t>
    </r>
    <r>
      <rPr>
        <sz val="10"/>
        <color theme="1"/>
        <rFont val="Times New Roman"/>
        <family val="1"/>
      </rPr>
      <t xml:space="preserve"> - 62L 2400W 2200mmH2O, para lavagem de grandes áreas.</t>
    </r>
  </si>
  <si>
    <t xml:space="preserve">Total Geral </t>
  </si>
  <si>
    <r>
      <t xml:space="preserve">MOP Giratório Fit Flash Limp 360º, </t>
    </r>
    <r>
      <rPr>
        <sz val="10"/>
        <color theme="1"/>
        <rFont val="Times New Roman"/>
        <family val="1"/>
      </rPr>
      <t>contendo,</t>
    </r>
    <r>
      <rPr>
        <b/>
        <sz val="10"/>
        <color theme="1"/>
        <rFont val="Times New Roman"/>
        <family val="1"/>
      </rPr>
      <t xml:space="preserve"> </t>
    </r>
    <r>
      <rPr>
        <sz val="10"/>
        <color theme="1"/>
        <rFont val="Times New Roman"/>
        <family val="1"/>
      </rPr>
      <t>Balde com alça, cesto e moldura;</t>
    </r>
    <r>
      <rPr>
        <b/>
        <sz val="10"/>
        <color theme="1"/>
        <rFont val="Times New Roman"/>
        <family val="1"/>
      </rPr>
      <t xml:space="preserve"> </t>
    </r>
    <r>
      <rPr>
        <sz val="10"/>
        <color theme="1"/>
        <rFont val="Times New Roman"/>
        <family val="1"/>
      </rPr>
      <t>Cabo telescópico com base, cabo inferior e superior;</t>
    </r>
    <r>
      <rPr>
        <b/>
        <sz val="10"/>
        <color theme="1"/>
        <rFont val="Times New Roman"/>
        <family val="1"/>
      </rPr>
      <t xml:space="preserve"> </t>
    </r>
    <r>
      <rPr>
        <sz val="10"/>
        <color theme="1"/>
        <rFont val="Times New Roman"/>
        <family val="1"/>
      </rPr>
      <t>Refil de microfibra. Capacidade Mínima para uso: 4 litro e Total: 8 litros</t>
    </r>
  </si>
  <si>
    <r>
      <t>Lavadora de alta pressão profissional,</t>
    </r>
    <r>
      <rPr>
        <sz val="10"/>
        <color theme="1"/>
        <rFont val="Times New Roman"/>
        <family val="1"/>
      </rPr>
      <t xml:space="preserve"> HD 585, Prof S, 220 v, com alça e rodas para transporte. Modelo karcher</t>
    </r>
  </si>
  <si>
    <r>
      <t>Varredeira de piso manual</t>
    </r>
    <r>
      <rPr>
        <sz val="10"/>
        <color theme="1"/>
        <rFont val="Calibri"/>
        <family val="2"/>
        <scheme val="minor"/>
      </rPr>
      <t>, 2 vassouras, modelo S 650  Kärcher.</t>
    </r>
  </si>
  <si>
    <r>
      <t xml:space="preserve">Serrote profissional 22 polegadas, </t>
    </r>
    <r>
      <rPr>
        <sz val="10"/>
        <color theme="1"/>
        <rFont val="Times New Roman"/>
        <family val="1"/>
      </rPr>
      <t>para podas de galhos. Tramontina ou similar.</t>
    </r>
  </si>
  <si>
    <r>
      <t>Esguicho para mangueira,</t>
    </r>
    <r>
      <rPr>
        <sz val="10"/>
        <color theme="1"/>
        <rFont val="Times New Roman"/>
        <family val="1"/>
      </rPr>
      <t xml:space="preserve"> tipo pistola rosca ¾”, com jato regulável.  Marca: Vonder ou similar.</t>
    </r>
  </si>
  <si>
    <t>Motossera MS 170 STIHL, gasolina. Marca: STIHL ou similar</t>
  </si>
  <si>
    <t>12.1 - USO GERAL</t>
  </si>
  <si>
    <r>
      <t xml:space="preserve">12.2 - </t>
    </r>
    <r>
      <rPr>
        <b/>
        <sz val="10"/>
        <color theme="1"/>
        <rFont val="Times New Roman"/>
        <family val="1"/>
      </rPr>
      <t>JAUZEIROS</t>
    </r>
  </si>
  <si>
    <r>
      <t xml:space="preserve">12.3 - </t>
    </r>
    <r>
      <rPr>
        <b/>
        <sz val="10"/>
        <color theme="1"/>
        <rFont val="Times New Roman"/>
        <family val="1"/>
      </rPr>
      <t>JARDINEIRO</t>
    </r>
  </si>
  <si>
    <t>Equipamentos/ferramentas/Equipamentos de Proteção Individual - EPI</t>
  </si>
  <si>
    <t>Outros</t>
  </si>
  <si>
    <t>6220-10</t>
  </si>
  <si>
    <t>Jaúzeiro</t>
  </si>
  <si>
    <t>5143-05</t>
  </si>
  <si>
    <t>Lavador de Auto</t>
  </si>
  <si>
    <t>5199-35</t>
  </si>
  <si>
    <t>7832-10</t>
  </si>
  <si>
    <t>SECRETARIA-EXECUTIVA</t>
  </si>
  <si>
    <t>SUBSECRETARIA DE PLANEJAMENTO, ORÇAMENTO E ADMINISTRAÇÃO</t>
  </si>
  <si>
    <t>COORDENAÇÃO-GERAL DE RECURSOS LOGÍSTICOS</t>
  </si>
  <si>
    <t>COORDENÇÃO DE ATIVIDADES GERAIS</t>
  </si>
  <si>
    <r>
      <t xml:space="preserve">  PLANLHA DE SERVIÇOS DE LIMPEZA E CONSERVAÇÃO EXECUTADOS DE FORMA CONTÍNUA NO ED. SEDE DO MME - </t>
    </r>
    <r>
      <rPr>
        <b/>
        <u/>
        <sz val="11"/>
        <rFont val="Arial"/>
        <family val="2"/>
      </rPr>
      <t>LEVANTAMENTO DE ÁREAS</t>
    </r>
    <r>
      <rPr>
        <b/>
        <sz val="11"/>
        <rFont val="Arial"/>
        <family val="2"/>
      </rPr>
      <t xml:space="preserve"> </t>
    </r>
  </si>
  <si>
    <t xml:space="preserve">Edifício Sede </t>
  </si>
  <si>
    <t>Áreas (m2)</t>
  </si>
  <si>
    <t>Áreas de Piso (m2)</t>
  </si>
  <si>
    <t>Fachada Envidraçada - Face Externa</t>
  </si>
  <si>
    <t>Esquadrias  Face interna</t>
  </si>
  <si>
    <t>Brises</t>
  </si>
  <si>
    <t>Interna I</t>
  </si>
  <si>
    <t>Externa</t>
  </si>
  <si>
    <t>Interna II</t>
  </si>
  <si>
    <t>Servente</t>
  </si>
  <si>
    <t>Áreas</t>
  </si>
  <si>
    <t>Produtividade</t>
  </si>
  <si>
    <t>Cálculo</t>
  </si>
  <si>
    <t>Nº Adotado</t>
  </si>
  <si>
    <t>1 Servente/1200m²/1dia(8hs)</t>
  </si>
  <si>
    <t>1 Servente/6000 m²/1dia(8hs)</t>
  </si>
  <si>
    <t>Esquadrias Face Interna</t>
  </si>
  <si>
    <t>Soma</t>
  </si>
  <si>
    <t>Encarregado</t>
  </si>
  <si>
    <t>Adotado</t>
  </si>
  <si>
    <t>Área do Habite-se (26.417,58 m²)</t>
  </si>
  <si>
    <t>Área lavavel do pavimento tipo (1.412 m²) (a)</t>
  </si>
  <si>
    <t>Área pavimentos tipo MME (T, 1º, 4º, 5º, 6º, 7º, 8º e 9º) - (a)</t>
  </si>
  <si>
    <t>Área 1º SS (1.412 m²- Restaurante - Reprografia/Mtur)  (b)</t>
  </si>
  <si>
    <t xml:space="preserve">Área 2º SS (1.412 m²- áreas MTur)  (c) </t>
  </si>
  <si>
    <t>Área Mezanino Almoxarifado MME (f)</t>
  </si>
  <si>
    <t>Área Centro de Treinamento (g)</t>
  </si>
  <si>
    <t>Descontos de outras áreas de ambientes ocupados pelo Mtur (Protocolo, Transporte, Almoxarife, Mezanino)</t>
  </si>
  <si>
    <t xml:space="preserve"> Total </t>
  </si>
  <si>
    <t>Área Calçadas/canteiros  (g)</t>
  </si>
  <si>
    <t>Área Gramados - lado oeste (h)</t>
  </si>
  <si>
    <t>Área Estacionamento Norte (i)</t>
  </si>
  <si>
    <t>Área Estacionamento N-2 (j)</t>
  </si>
  <si>
    <t>Área Rampa de acesso a Garagem (k)</t>
  </si>
  <si>
    <t xml:space="preserve">Área Cobertura (l) </t>
  </si>
  <si>
    <t xml:space="preserve"> Sub Total = (g)+(h)+(i)+(j)+(k)+(l) </t>
  </si>
  <si>
    <t>Esquadrias/Face interna [(T, 1º, 4º, 5º, 6º, 7º, 8º e 9º)=8x(3x102)x2] + [(1ºSS  e 2ºSS)=2x(1x102)x2]</t>
  </si>
  <si>
    <t>Fachadas Leste e Oeste Envidraçada - Face Externa 2x(37,20 x 102,79)</t>
  </si>
  <si>
    <t>Esquadrias/Brises (externa)= 10x2,79x102,19</t>
  </si>
  <si>
    <t xml:space="preserve">Fachadas Cerâmicas Norte e Sul (102,69 x 17,58 m) </t>
  </si>
  <si>
    <t xml:space="preserve"> PLANILHA DE SERVIÇOS DE LIMPEZA E CONSERVAÇÃO EXECUTADOS DE FORMA CONTÍNUA NO ED. SEDE DO MME</t>
  </si>
  <si>
    <t>PLANILHA DE PREÇO MENSAL UNITÁRIO POR M²</t>
  </si>
  <si>
    <t>Mão-de-Obra</t>
  </si>
  <si>
    <t>Produtividade  (1/M²)</t>
  </si>
  <si>
    <t>Preço Homem Mês (R$)</t>
  </si>
  <si>
    <t>Subtotal (R$/M²)</t>
  </si>
  <si>
    <t>1/6.000</t>
  </si>
  <si>
    <r>
      <t xml:space="preserve">Produtividade  (1/M²)                                                                                                                                                                                                                                                                                       </t>
    </r>
    <r>
      <rPr>
        <b/>
        <sz val="9"/>
        <rFont val="Arial"/>
        <family val="2"/>
      </rPr>
      <t>(a)</t>
    </r>
  </si>
  <si>
    <r>
      <t xml:space="preserve">Frequencia no Mês (Horas)        </t>
    </r>
    <r>
      <rPr>
        <b/>
        <sz val="9"/>
        <rFont val="Arial"/>
        <family val="2"/>
      </rPr>
      <t>(b)</t>
    </r>
  </si>
  <si>
    <r>
      <t xml:space="preserve">Jornada de Trabalho no Mês (Horas)    </t>
    </r>
    <r>
      <rPr>
        <b/>
        <sz val="9"/>
        <rFont val="Arial"/>
        <family val="2"/>
      </rPr>
      <t>(c)</t>
    </r>
  </si>
  <si>
    <r>
      <t xml:space="preserve">Ki                     </t>
    </r>
    <r>
      <rPr>
        <b/>
        <sz val="9"/>
        <rFont val="Arial"/>
        <family val="2"/>
      </rPr>
      <t>(d)=(a)x(b)x(c)</t>
    </r>
  </si>
  <si>
    <r>
      <t xml:space="preserve">Preço Homem Mês  (R$)                                        </t>
    </r>
    <r>
      <rPr>
        <b/>
        <sz val="9"/>
        <rFont val="Arial"/>
        <family val="2"/>
      </rPr>
      <t xml:space="preserve">  (e)</t>
    </r>
  </si>
  <si>
    <r>
      <t xml:space="preserve">Subtotal (R$/M²)                     </t>
    </r>
    <r>
      <rPr>
        <b/>
        <sz val="9"/>
        <rFont val="Arial"/>
        <family val="2"/>
      </rPr>
      <t>(f)=(d)x(e)</t>
    </r>
  </si>
  <si>
    <t>VALOR MENSAL DOS SERVIÇOS - Mão de Obra</t>
  </si>
  <si>
    <t>A.  POR ÁREA</t>
  </si>
  <si>
    <t>Tipo de Área</t>
  </si>
  <si>
    <t>Preço Mensal Unitário               (R$/M²)</t>
  </si>
  <si>
    <t>Área (M²)</t>
  </si>
  <si>
    <t>Subtotal (R$)</t>
  </si>
  <si>
    <t>Subtotal A</t>
  </si>
  <si>
    <t>B.  POR CATEGORIA FUNCIONAL</t>
  </si>
  <si>
    <t xml:space="preserve"> Categoria Funcional </t>
  </si>
  <si>
    <t>Quantidade</t>
  </si>
  <si>
    <t>Preço Unitário (R$)</t>
  </si>
  <si>
    <t>Preço Parcial</t>
  </si>
  <si>
    <t>Subtotal B</t>
  </si>
  <si>
    <t>Total Mensal ( Subtotal A + Subtotal B)</t>
  </si>
  <si>
    <t>VALOR ANUAL DOS SERVIÇOS - Mão de Obra</t>
  </si>
  <si>
    <t>1/300</t>
  </si>
  <si>
    <t>1/130</t>
  </si>
  <si>
    <t>Interna I - Pisos Frios</t>
  </si>
  <si>
    <t>Interna II - Piso Garagem</t>
  </si>
  <si>
    <t>Interna II - Banheiros</t>
  </si>
  <si>
    <t>Interna III</t>
  </si>
  <si>
    <t>Área Adminstrativa da Garagem (4.196,05 m² - Estacionamento)  (d)</t>
  </si>
  <si>
    <t>Área de Banheiros (h)</t>
  </si>
  <si>
    <t xml:space="preserve"> Sub Total = (a)+(b)+(c)+(d)+(e)+(f)+(g)-(h)</t>
  </si>
  <si>
    <t>Piso Liso de Estacionamento da Garagem (4.196,05 - 1722 m²)  (d)</t>
  </si>
  <si>
    <t>Área Externa - Produtividade 1 servente/6.000 m² - varrição de passeios - (IN 5/2017)</t>
  </si>
  <si>
    <t>Fachada Envidraçada - Face Externa - Produtividade 1servente /130m² - (IN 5/2017)</t>
  </si>
  <si>
    <t>1/1000</t>
  </si>
  <si>
    <t>Esquadria - Face Interna - Produtividade 1servente/300m² - (IN 5/2017)</t>
  </si>
  <si>
    <t>Cálculo do nº de Encarregados e Serventes  com base na IN nº 05/2017</t>
  </si>
  <si>
    <t>1 Servente/300m²/15 dias (frequencia: a cada 15 dias)</t>
  </si>
  <si>
    <t>1 Servente/130m²/180 dias (frequencia: a cada 180 dias)</t>
  </si>
  <si>
    <t>(*)</t>
  </si>
  <si>
    <t>1/191,7143 (*)</t>
  </si>
  <si>
    <t>1/191,7143</t>
  </si>
  <si>
    <r>
      <t xml:space="preserve">1 mês </t>
    </r>
    <r>
      <rPr>
        <sz val="12.1"/>
        <rFont val="Arial"/>
        <family val="2"/>
      </rPr>
      <t>=</t>
    </r>
    <r>
      <rPr>
        <sz val="11"/>
        <rFont val="Arial"/>
        <family val="2"/>
      </rPr>
      <t xml:space="preserve"> 30,5 dias = 4,357143 semanas x 44hs/semana = 191,7143 hs</t>
    </r>
  </si>
  <si>
    <t>1/1.150,29</t>
  </si>
  <si>
    <r>
      <t xml:space="preserve">Jornada de Trabalho em  6 Mês (Horas)    </t>
    </r>
    <r>
      <rPr>
        <b/>
        <sz val="9"/>
        <rFont val="Arial"/>
        <family val="2"/>
      </rPr>
      <t>(c)</t>
    </r>
  </si>
  <si>
    <t>1/1.150,29 (*)</t>
  </si>
  <si>
    <t>191,7143 hs/mes x 6 meses = 1.150,29 hs</t>
  </si>
  <si>
    <t>Quant  Anual</t>
  </si>
  <si>
    <t>Água sanitária, composição hidróxido de sódio e água, princípio ativo hipoclorito de sódio 2,0% a 2,5% de cloro ativo. Normas técnicas: registros na ANVISA, IMETRO, Ministério da Saúde. Constar na embalagem do produto informações: composição, fabricante, número do lote, data de fabricação, validade, entre outras. Lacre inviolado. Fornecimento embalagem de 1 Litro. Kboa ou similar.</t>
  </si>
  <si>
    <t>Álcool Gel Asseptgel 500 c 70%, com extrato de Aloe Vera Cristal, com válvula pump,  para a assepsia das mãos. Fornecimento embalagem frasco 440 g. Asseptgel</t>
  </si>
  <si>
    <t>Álcool Gel Refil 70% GL, antiséptico, glicerinado com hidratante de Aloe Vera, para higienização das mãos. Refil especialmente desenvolvido para uso em saboneteiras. Normas técnicas: registros na ANVISA, IMETRO, Ministério da Saúde. Constar na embalagem do produto informações: composição, fabricante, número do lote, data de fabricação, validade, entre outras. Lacre inviolado. Fornecimento embalagem refil de 800 ml.</t>
  </si>
  <si>
    <t>Álcool, etílico hidratado 70% INPM, baixo teor de acidez e aldeídos, indicado especialmente para limpeza de superfícies. Normas técnicas: registro no IMETRO, Ministério da Saúde.  Constar na embalagem do produto informações: composição, fabricante, número do lote, data de fabricação, validade, entre outras. Lacre inviolado. Fornecimento embalagem de 1 Litro.</t>
  </si>
  <si>
    <t>Balde, em Polipropileno, para uso geral, capacidade de 12 litros, com alça de metal de alta resistência.</t>
  </si>
  <si>
    <t>Brilha Inox, Spray, para limpeza de superfícies de aço inox, alumínio e peças cromadas. Fornecimento embalagem frasco de 500 g. Scotch Brite ou similar.</t>
  </si>
  <si>
    <t xml:space="preserve">Cera liquida  base de carnaúba, incolor de auto brilho, ambiente interno,  proteção para todo tipo de piso, resistência ao trafego.
Constar na embalagem do produto informações: composição, fabricante, número do lote, data de fabricação, validade, entre outras. Lacre inviolado. Fornecimento embalagem galão de 5 litros. Detersid/Diluplus/ ou similar.
</t>
  </si>
  <si>
    <t>Cera líquida Pretita, elaborada especialmente para dar brilho em pneus, superfícies escuras impermeabilizadas ou laváveis. Constar na embalagem do produto informações: composição, fabricante, número do lote, data de fabricação, validade, entre outras. Lacre inviolado. Fornecimento embalagem galão de 5 litros. Inglesa ou similar.</t>
  </si>
  <si>
    <t>Cera pastosa para lustrar veículos, de fácil brilho. Fornecimento embalagem de 200 gr. Indy ou similar.</t>
  </si>
  <si>
    <t>Desinfetante concentrado biodegradável, limpa, desinfeta, sanitiza e perfuma ambientes, atóxico, alto rendimento, fragrâncias lavanda, floral, marine. Constar na embalagem do produto informações: composição, fabricante, número do lote, data de fabricação, validade, entre outras.  Lacre inviolado. Fornecimento embalagem galão de 5 litros. Bry Plus/Inglesa ou similar.</t>
  </si>
  <si>
    <r>
      <t xml:space="preserve">Desodorizador de ar aerosol, aromatizante de ambientes em geral, biodegradável, </t>
    </r>
    <r>
      <rPr>
        <sz val="10"/>
        <color theme="1"/>
        <rFont val="Times New Roman"/>
        <family val="1"/>
      </rPr>
      <t>fragrância</t>
    </r>
    <r>
      <rPr>
        <sz val="10"/>
        <color rgb="FF000000"/>
        <rFont val="Times New Roman"/>
        <family val="1"/>
      </rPr>
      <t xml:space="preserve">: lavanda, floral, jasmim, talco entre outras. </t>
    </r>
    <r>
      <rPr>
        <sz val="10"/>
        <color theme="1"/>
        <rFont val="Times New Roman"/>
        <family val="1"/>
      </rPr>
      <t>Fornecimento embalagem</t>
    </r>
    <r>
      <rPr>
        <sz val="10"/>
        <color rgb="FF000000"/>
        <rFont val="Times New Roman"/>
        <family val="1"/>
      </rPr>
      <t xml:space="preserve"> </t>
    </r>
    <r>
      <rPr>
        <sz val="10"/>
        <color theme="1"/>
        <rFont val="Times New Roman"/>
        <family val="1"/>
      </rPr>
      <t>frasco de  360 ml. Gleid ou similar.</t>
    </r>
  </si>
  <si>
    <t>Detergente automotivo shampoo neutro concentrado, para lavagem de veículos, 1/100. Constar na embalagem do produto informações: composição, fabricante, número do lote, data de fabricação, validade, entre outras. Lacre inviolado. Fornecimento embalagem galão de 5 litros. SH 1000/Start ou similar.</t>
  </si>
  <si>
    <t>Detergente líquido para piso concentrado, com PH neutro, sem perfume, sabão liquido  utilizado na limpeza de pisos e paredes ou qualquer superfície lavável. Constar na embalagem do produto informações: composição, fabricante, número do lote, data de fabricação, validade, entre outras. Lacre inviolado. Fornecimento embalagem galão de 5 litros. Officer ou similar.</t>
  </si>
  <si>
    <t>Dispenser papel toalha interfolhada 2 ou 3 dobras, em plástico ABS, transparente, com visor, Sistema de abertura e fechamento por chave, em plástico ABS, kit para fixação na parede contendo buchas e parafusos. Medidas aproximadas: largura 26cm,  altura 30cm,  profundidade 135cm. Compatível com a largura do papel.</t>
  </si>
  <si>
    <t>Dispenser para papel higiênico interfolha cai cai, para folha  dupla, cor branco, material polipropileno  de alta resistência ao impacto. Com trava de segurança, visor de nível central. Capacidade 1000 folhas. Compatível com a largura do papel.</t>
  </si>
  <si>
    <t>Dispenser para sabonete liquido com reservatorio, em plastico ABS, para uso de sabonetes líquidos de galão, transparente, com fechadura, chave e kit para fixacao na parede contendo buchas e parafusos, medidas largura 10,5cm altura 25,5cm profundidade 11cm. Capacidade do reservatório 800 ml.</t>
  </si>
  <si>
    <t>Escova de Nylon 350 enceradeira profissional</t>
  </si>
  <si>
    <t>Escova de Nylon 410 enceradeira profissional</t>
  </si>
  <si>
    <t>Escova de Nylon 510 enceradeira profissional</t>
  </si>
  <si>
    <t>Escova de nylon oval,  para limpeza manual.</t>
  </si>
  <si>
    <t>Espanador de pó, com cabo plástico, pena, tamanho grande.</t>
  </si>
  <si>
    <t>Espátula, em aço carbono de alta qualidade, largura da lâmina no mínimo de 7 cm, cabo de madeira.</t>
  </si>
  <si>
    <t>Esponja de lã de aço, fardinho com 14 pacotes. Constar  na embalagem do produto informações: composição, fabricante, número do lote, data de fabricação, validade, entre outras. Fornecimento fardinho com 14 pacotes de 8 unidades. Bombril ou similar.</t>
  </si>
  <si>
    <t>Esponja Lava Carro, esponja para lavagem de veiculos, macia. Medidas aproximadas 13 x 20 x 6 cm. Superpro Bettanin ou similar.</t>
  </si>
  <si>
    <t>Esponja tipo dupla face, de espuma e manta abrasiva de alta qualidade. Scotch Brite ou similar.</t>
  </si>
  <si>
    <t>Estopa para polimento, branca, macia de primeira qualidade, fios longos 100% de algodão. Fornecimento embalagem pacote com 1 kg.</t>
  </si>
  <si>
    <t>Fibra para suporte LT verde, fibra sintética com abrasivo. Medidas: 230mm x 102mm. Marca: 3M ou similar. Fornecimento pacote com 10 unidades</t>
  </si>
  <si>
    <t>Fita adesiva dupla face, fixa forte VHB, 25mm x 20m, transparente. 3M ou similar.</t>
  </si>
  <si>
    <t>Flanela, para limpeza, de primeira qualidade, na cor branca, dimensões mínimas de 40 x 60 cm, overlocadas nas bordas, com etiqueta de identificação das dimensões e demais informações do produto.</t>
  </si>
  <si>
    <t>Impermeabilizante acrílica concentrado, UHS, indicado para impermeabilização de pisos de alto tráfico, acabamento acrílico base água, alto teor de sólidos (28%) acabamento acrílico metalizado, liquido, cor branca levemente amarelada, antiderrapante. Constar na embalagem do produto informações: composição, fabricante, número do lote, data de fabricação, validade, entre outras. Lacre inviolado. Fornecimento embalagem galão de 5 litros. Twister UHS/Resgate ou similar.</t>
  </si>
  <si>
    <t>Inseticida, aerossol multi. Fornecimento embalagem frasco de 300 ml.</t>
  </si>
  <si>
    <t>Limpa carpete, neutro, espuma controlada, para limpeza de carpetes e tapetes. Constar na embalagem do produto informações: composição, fabricante, número do lote, data de fabricação, validade, entre outras. Lacre inviolado. Fornecimento embalagem galão de 5 litros. Start ou similar.</t>
  </si>
  <si>
    <t>Limpa vidro, líquido incolor. Constar na embalagem do produto informações: composição, fabricante, número do lote, data de fabricação, validade, entre outras. Lacre inviolado. Fornecimento embalagem frasco de 500 ml.</t>
  </si>
  <si>
    <t>Limpador multiuso, instantâneo, alquil benzeno, sulfonato de sódio, coadjuvantes, fragrância e água. Constar na embalagem do produto informações: composição, fabricante, número do lote, data de fabricação, validade, entre outras. Lacre inviolado. Fornecimento embalagem frasco de 500 ml. Veja Original ou similar.</t>
  </si>
  <si>
    <t>Lustra móveis, a base de silicone, brilho e limpeza sem engordurar, Fragrância  lavanda. Constar na embalagem do produto informações: composição, fabricante, número do lote, data de fabricação, validade, entre outras. Lacre inviolado. Fornecimento embalagem frasco de 200 ml. Poliflor ou similar.</t>
  </si>
  <si>
    <t>Luva de borracha, látex com forro, antiderrapante na palma e nos dedos, forradas com flocos de algodão. Apresentar na embalagem o C.A – Certificado de Aprovação emitido pelo Ministério do Trabalho. Fornecimento embalagem par. Tam: P</t>
  </si>
  <si>
    <t>Luva de borracha, látex com forro, antiderrapante na palma e nos dedos, forradas com flocos de algodão. Apresentar na embalagem o C.A – Certificado de Aprovação emitido pelo Ministério do Trabalho. Fornecimento embalagem par. Tam: M</t>
  </si>
  <si>
    <t>Luva de borracha, látex com forro, antiderrapante na palma e nos dedos, forradas com flocos de algodão. Apresentar na embalagem o C.A – Certificado de Aprovação emitido pelo Ministério do Trabalho. Fornecimento embalagem par. Tam: G</t>
  </si>
  <si>
    <t>Luva nitrílica nitrasol, Altamente resistente a produtos químicos, com excelente resistência mecânica a rasgo, perfuração, corte e abrasão. Alta flexibilidade oferecendo o máximo de conforto ao usuário, possui palma antiderrapante que facilita o manuseio seguro de objetos secos ou molhados, medindo 33 cm de comprimento. C.A – Certificado de Aprovação emitido pelo Ministério do Trabalho. Fornecimento embalagem par.</t>
  </si>
  <si>
    <t>Luva vaqueta total petroleira, Luva de segurança confeccionada em vaqueta, com punho 7 cm,  reforço na palma e face palmar dos dedos, tira de reforço entre os dedos polegar e indicador, tirante elástico para ajuste no dorso. Proteção das mãos do usuário contra agentes abrasivos e escoriantes. acabamento em orvelok. Apresentar na embalagem o C.A – Certificado de Aprovação emitido pelo Ministério do Trabalho. Fornecimento embalagem par.</t>
  </si>
  <si>
    <t>Luvas de jardinagem, vaqueta mista em couro raspa e lona Apresentar na embalagem o C.A – Certificado de Aprovação emitido pelo Ministério do Trabalho. Fornecimento embalagem par.</t>
  </si>
  <si>
    <t>Máscara respirador AIR SAN com filtro A1B1 VO, ajuste através de tirante elástico com suporte na nuca, preso pelas alças laterais. Apresentar na embalagem o C.A - Certificado de Aprovação emitido pelo Ministério do Trabalho</t>
  </si>
  <si>
    <t>Máscara respiratória PFF1 ksn com válvula, cor azul.  Apresentar na embalagem o C.A – Certificado de Aprovação emitido pelo Ministério do Trabalho.</t>
  </si>
  <si>
    <r>
      <t>Massa de polir nº 02 base água,</t>
    </r>
    <r>
      <rPr>
        <sz val="10"/>
        <color rgb="FF000000"/>
        <rFont val="Times New Roman"/>
        <family val="1"/>
      </rPr>
      <t xml:space="preserve"> i</t>
    </r>
    <r>
      <rPr>
        <sz val="10"/>
        <color theme="1"/>
        <rFont val="Times New Roman"/>
        <family val="1"/>
      </rPr>
      <t>ndicada para pinturas manchadas e oxidadas pela ação de raios solares. Fornecimento embalagem pote de 1 kg.</t>
    </r>
  </si>
  <si>
    <t>Mop Pó 80 cm, completo cabo retrátil em alumínio, suporte e refil.</t>
  </si>
  <si>
    <t>Óculos de segurança, Constituído de armação e visor confeccionado em uma única peça de policarbonato incolor, resistente, confortável, não deve distorcer imagens ou limitar o campo visual. C.A - Certificado de Aprovação emitido pelo Ministério do Trabalho.</t>
  </si>
  <si>
    <t>Pá de lixo em metal, cabo em madeira longo.</t>
  </si>
  <si>
    <t>Pá de lixo em plastico, cabo curto.</t>
  </si>
  <si>
    <t>Pano de chão, saco alvejado, grosso, duplo, com barrado, 100% algodão, dimensões mínimas 45x70 cm, com etiqueta de identificação do tamanho e demais informações do produto.</t>
  </si>
  <si>
    <t>Papel Higiênico Cai Cai, interfolhado, folha dupla, resistente, macio e com alto poder de absorção, cor branca, 100% celulose virgem, gramatura 30 a 32 g/m², medidas 10x20cm. Fornecimento caixa com 8.000 folhas.</t>
  </si>
  <si>
    <t>Papel toalha interfolhado 2 dobras, em caixa, 100% celulose virgem, gofrado, gramatura 32 a 34  g/m², cor branca, medidas minima  22,5 x 20,5. Fornecimento embalagem caixa com 2000 folhas.</t>
  </si>
  <si>
    <t>Pedra sanitária com suporte, aromatizante, 25 g.</t>
  </si>
  <si>
    <t>Pincel grande, formato duplo, cabo plástico, 3 Polegadas.</t>
  </si>
  <si>
    <t>Protetor Auricular, do tipo inserção pré-moldado, de silicone, com cordão de pvc, 15 dB (NRRsf), acompanha caixa com clipe para armazenamento. C.A – Certificado de Aprovação emitido pelo Ministério do Trabalho.</t>
  </si>
  <si>
    <t>Protetor solar, proteção contra os raios UVA e UVB-FPS 30. Fornecimento embalagem frasco 350 ml. Sundown ou similar.</t>
  </si>
  <si>
    <t>Pulverizador  manual spray, com jato regulável, capacidade 1 litro</t>
  </si>
  <si>
    <t>Querosene, Constar no rótulo informações do produto, composição, fabricante, número do lote, data de fabricação e validade, com registro na ANVISA. Fornecimento embalagem de 1 Litro.</t>
  </si>
  <si>
    <t>Refil  para aplicador de cera luva 45 cm, em tecido acrílico ou microfibra, lavável.</t>
  </si>
  <si>
    <t>Refil MOP Pó 80 cm</t>
  </si>
  <si>
    <t xml:space="preserve">Refil para MOP Giratório Fit Flashlimp, em microfibra. </t>
  </si>
  <si>
    <t>Refil Reservatório para Dispenser de Sabonete Liquido, Capacidade 800 ml.</t>
  </si>
  <si>
    <t>Removedor de ceras concentrado removedor de ceras naturais, acrílicas e sistemas HS/UHS indicado para todos os tipos de pisos laváveis. Não contém amoníaco, Constar na embalagem do produto informações: composição, fabricante, número do lote, data de fabricação, validade, entre outras. Lacre inviolado. Fornecimento embalagem galão de 5 litros. RemoWax Ultra R8/Ingleza ou similar.</t>
  </si>
  <si>
    <t>Rodo aplicador de cera 45 cm, cabo em alumínio, sistema de fixação mola-trava, permite fácil colocação do cabo e sistema de angulação 180º.</t>
  </si>
  <si>
    <t>Rodo de madeira de 80 cm, com borracha dupla e colorida, cabo plastificado.</t>
  </si>
  <si>
    <t>Sabão em barra neutro, 200g glicerinado, 100% biodegradável. Constar na embalagem do produto informações: composição, fabricante, número do lote, data de fabricação, validade, entre outras. Fornecimento barra de 200g. Ypê ou similar.</t>
  </si>
  <si>
    <t>Sabão em pó, composto de tensoativo aniônico, coadjuvantes, sinergista, branqueador óptico, tamponantes, corante, essência, carga, água, alquil benzeno sulfonato de sódio. Constar na embalagem do produto informações: composição, fabricante, número do lote, data de fabricação, validade, entre outras. Lacre inviolado. Fornecimento embalagem de 1 kg. Minuano ou similar.</t>
  </si>
  <si>
    <t>Sabonete liquido concentrado biodegradável, pronto para uso, perolado, glicerinado, com formulação balanceada, ph neutro, fragrância erva doce, para saboneteiras tipo dispenser. Constar na embalagem do produto informações: composição, fabricante, número do lote, data de fabricação, validade, entre outras. Lacre inviolado. Fornecimento embalagem galão de 5 litros. Premisse/Soft ou similar.</t>
  </si>
  <si>
    <t>Saco descartável para aspirador de pó profissional. Fornecimento embalagem pacote com 3 un.</t>
  </si>
  <si>
    <t>Saco plástico para lixo branco leitoso, 60 litros, resistente, 8 micras, pacote com 100 un. Fornecimento embalagem pacote com 100 un.</t>
  </si>
  <si>
    <t>Saco plástico para lixo preto, 100 litros resistente, 10 micras, pacote com 100 un. Fornecimento embalagem pacote com 100 un.</t>
  </si>
  <si>
    <t>Saco plástico para lixo azul, 100 litros, resistente, 10 micras, pacote com 100 un. Fornecimento embalagem pacote com 100 un.</t>
  </si>
  <si>
    <t>Saco plástico para lixo marrom, 100 litros, resistente, 10 micras, pacote com 100 un. Fornecimento embalagem pacote com 100 un.</t>
  </si>
  <si>
    <t>Saco plástico para lixo vermelho, 100 litros, resistente, 10 micras, pacote com 100 un. Fornecimento embalagem pacote com 100 un.</t>
  </si>
  <si>
    <t>Suporte de fibra LT com sistema de fixação do cabo através de rosca universal, fabricado em plástico de alta resistência, moldado com ganchos para fixação das fibras de fimpeza, com cabo.</t>
  </si>
  <si>
    <t>Tela para mictório perfumada, Indicada para amenizar os odores de toaletes masculinos. Premisse ou similar.</t>
  </si>
  <si>
    <t>Vaselina líquida incolor, para limpeza das estruturas em aço inox externa. Constar na embalagem do produto informações: composição, fabricante, número do lote, data de fabricação, validade, entre outras. Lacre inviolado. Fornecimento embalagem de 1 Litro.</t>
  </si>
  <si>
    <t>Vassoura  de pelo sintético 40 cm,  com cabo plastificado contendo rosca.</t>
  </si>
  <si>
    <t>Vassoura  de pelo sintético 60 cm,  com cabo plastificado contendo rosca.</t>
  </si>
  <si>
    <t>Vassoura gari 60 cm, com cabo,  4 carreiras de  cerdas de piaçava natural, base madeira.</t>
  </si>
  <si>
    <t>Vassoura Piaçava sintético, cabo plastificado com rosca.</t>
  </si>
  <si>
    <t>Vassourinha sanitária, com cerdas  retas, cabo de plástico, tamanho mínimo 33 x 4,3 cm.</t>
  </si>
  <si>
    <t>Adubo Orgânico, esterco fresco de gado curtido. Aplicação em jardim, com prazo de validade. Fornecimento de embalagem de 25 litros.</t>
  </si>
  <si>
    <t>Adubo Químico Forth Jardim, para jardins e gramados. Fornecimento em saco de 10 kg.</t>
  </si>
  <si>
    <t>Argila expandida para forração. Fornecimento de embalagem de 10 litros.</t>
  </si>
  <si>
    <t>Calcário dolomítico, corretivo de solo. Fornecimento em saco de  3 kg.</t>
  </si>
  <si>
    <t>Cascas pinos, para uso em forração de  vasos e jardim. Fornecimento saco  de 5 kg.</t>
  </si>
  <si>
    <t>Formicida isca granulada, veneno contra formigas, isca pacote 500 gr.</t>
  </si>
  <si>
    <t>Grama batatais-Raspalum Notatum, aplicação em jardins.</t>
  </si>
  <si>
    <t>Glifosato Roundap,  mata mato.  Fornecimento embalagem de 1 litro.</t>
  </si>
  <si>
    <t xml:space="preserve">Planta ornamental Bromelia Florida muda tamanho aproximada de  1,20. Plantada  em pote de plástico.  </t>
  </si>
  <si>
    <t>Planta ornamental Palmeira Areca muda tamanho aproximada de  1,20. Plantada  em pote de plástico.</t>
  </si>
  <si>
    <t>Planta ornamental Strelitzias muda tamanho aproximada de  1,20. Plantada  em pote de plástico.</t>
  </si>
  <si>
    <t>Planta ornamental Zamioculcas  muda tamanho aproximada de  1,20. Plantada  em pote de plástico.</t>
  </si>
  <si>
    <t>Planta para forração rasteira de sol Clorofito Comosum – mudinhas no saquinho. Fornecimento caixa com 18 unidades.</t>
  </si>
  <si>
    <t>Planta para forração rasteira de sol Espadinha Sansevieria – mudinhas  no saquinho. Fornecimento caixa com 18 unidades.</t>
  </si>
  <si>
    <t>Planta para forração rasteira de sol Liriope Muscari –mudinhas  no saquinho. Fornecimento caixa com 18 unidades.</t>
  </si>
  <si>
    <t>Planta para forração rasteira de sol Pilea Candierei – mudinhas no saquinho. Fornecimento caixa com 18 unidades.</t>
  </si>
  <si>
    <t>Prato para vaso, em plástico preto, redondo, tamanho nº 2.</t>
  </si>
  <si>
    <t>Prato para vaso, em plástico preto, redondo, tamanho nº 11.</t>
  </si>
  <si>
    <t>Pedrisco Branco nº 2 -. Fornecimento em saco de 20 kg.</t>
  </si>
  <si>
    <t>Separador de Grama, em poliuretano, flexível, que permite moldar canteiros. Fornecimento rolo com 50m na cor verde.</t>
  </si>
  <si>
    <t>Suporte de madeira para vaso, quadrado,  medida aproximada  25x25 cm,  com rodizio em gel silicone.</t>
  </si>
  <si>
    <t>Terra vegetal preta adubada, aplicação em vasos plantas ornamentais e jardins. Fornecimento em saco de 20kg.</t>
  </si>
  <si>
    <t>Terra vegetal vermelha, para plantio e capeamento de gramados, isenta de pedras, torrões. Fornecimento M³.</t>
  </si>
  <si>
    <t>Vaso em polietileno, formato trapézio,  roto-moldado, textura grafiato, cor a definir,  Medidas aproximadas: 47x34x24, Altura x largura x Base.</t>
  </si>
  <si>
    <t>Pote de plástico redondo, preto, para mudas. Tamanho aproximado 3 litros.</t>
  </si>
  <si>
    <t>Óleo Lubrificante WD-40, aerossol, inibidor de corrosão e prolipelente.Fornecimento embalagem lata spray de 300ml.</t>
  </si>
  <si>
    <t>Óleo de peroba, limpa, lustra e renova moveis de madeira. Fornecimento embalagem frasco de 100ml. Peroba ou similar.</t>
  </si>
  <si>
    <t xml:space="preserve">Detergente limpa cerâmica e azulejo concentrado, elaborado para remover sujeiras, manchas e incrustações em superfícies cerâmicas pisos e azulejos, cor azul, odor perfumado, acidez: 3,6 – 4,0 ml (NaOH 0,2N). Constar na embalagem do produto informações: composição, fabricante, número do lote, data de fabricação, validade, entre outras. Lacre inviolado. Fornecimento embalagem galão de 5 litros. Azulim/Start ou similar.
</t>
  </si>
  <si>
    <t>MATERIAIS DE JARDINAGEM</t>
  </si>
  <si>
    <t>LIMPEZA</t>
  </si>
  <si>
    <t>PLANILHA DE MATERIAL  ANUAL</t>
  </si>
  <si>
    <t>Saponáceo Cremoso, sapólio radium sem cloro, fragrância lavanda.</t>
  </si>
  <si>
    <t>TOTAL JARDINGEM</t>
  </si>
  <si>
    <t>TOTAL LIMPEZA</t>
  </si>
  <si>
    <t>TOTAL GERAL ANUAL</t>
  </si>
  <si>
    <t>TOTAL GERAL MENSAL</t>
  </si>
  <si>
    <t>Mensal</t>
  </si>
  <si>
    <t>Serviços</t>
  </si>
  <si>
    <t>1.0</t>
  </si>
  <si>
    <t>1.1</t>
  </si>
  <si>
    <t>1.2</t>
  </si>
  <si>
    <t>VALOR TOTAL ANUAL (SERVIÇOS + MATERIAIS)</t>
  </si>
  <si>
    <t>2.0</t>
  </si>
  <si>
    <t>Por Área</t>
  </si>
  <si>
    <t xml:space="preserve">Por Postos de Trabalho </t>
  </si>
  <si>
    <t>Materiais (Estimativa)</t>
  </si>
  <si>
    <t>TOTAL MENSAL</t>
  </si>
  <si>
    <t xml:space="preserve"> TOTAL  ANUAL</t>
  </si>
  <si>
    <t xml:space="preserve">Soma </t>
  </si>
  <si>
    <t>2025 / CCT - SINDSERVIÇOS-DF/SEAC-DF</t>
  </si>
  <si>
    <t>Rodo de  aço de 40 cm, com borracha dupla e colorida, cabo plastificado.</t>
  </si>
  <si>
    <t>Rodo de aço de 60 cm, com borracha dupla e colorida, cabo plastificado.</t>
  </si>
  <si>
    <t>Carrinho de Limpeza Funcional</t>
  </si>
  <si>
    <t>Desincrustante alcalino clorado- limpar, desinfetar, branquear e remover odores - 5 L</t>
  </si>
  <si>
    <t>Salário Normativo da Categoria Profissional/CCT-2025</t>
  </si>
  <si>
    <t>PLANILHAS DE CUSTOS E FORMAÇÃO DE PREÇOS DE MÃO-DE-OBRA PARA PRESTAÇÃO DE SERVIÇOS DE LIMPEZA</t>
  </si>
  <si>
    <t>Bota de segurança (Calçado de segurança tipo botina, fechamento em elástico nas laterais, confeccionado em couro curtido ao cromo, forro da gáspea em tecido, forro lateral em tecido, palmilha de montagem em fibras não metálicas resistente a perfuração e ao corte fixada pelo sistema strobel)tipo composite. Marca marluvas C.A ou similar.</t>
  </si>
  <si>
    <t>Calça jeans feitas de tecidos duráveis e reforçado</t>
  </si>
  <si>
    <t>Cinta faixa Abdominal Ergonômica Lombar Para Coluna Epi em duplo tecido resistente tipo paraquedista.</t>
  </si>
  <si>
    <t>Agente de Higienização de Banheiros</t>
  </si>
  <si>
    <t>Nota 3: Levando em consideração a vigência contratual prevista no art. 121, § 3º da Lei nº 14.133, de 01 de abril de 2021, a rubrica férias tem como objetivo principal suprir a necessidade do pagamento das férias remuneradas ao final do contrato de 12 meses. Esta rubrica, quando da prorrogação contratual, torna-se custo não renovável.</t>
  </si>
  <si>
    <r>
      <rPr>
        <b/>
        <sz val="8"/>
        <color rgb="FF000000"/>
        <rFont val="Times New Roman"/>
        <family val="1"/>
      </rPr>
      <t>Nota 3</t>
    </r>
    <r>
      <rPr>
        <sz val="8"/>
        <color rgb="FF000000"/>
        <rFont val="Times New Roman"/>
        <family val="1"/>
      </rPr>
      <t>: Levando em consideração a vigência contratual prevista no art. 121, § 3º da Lei nº 14.133, de 01 de abril de 2021, a rubrica férias tem como objetivo principal suprir a necessidade do pagamento das férias remuneradas ao final do contrato de 12 meses. Esta rubrica, quando da prorrogação contratual, torna-se custo não renovável.</t>
    </r>
  </si>
  <si>
    <t>1/(30x300)</t>
  </si>
  <si>
    <t>1/(30x6.000)</t>
  </si>
  <si>
    <t xml:space="preserve">PLANILHAS DE CUSTOS E FORMAÇÃO DE PREÇOS DE MÃO-DE-OBRA PARA PRESTAÇÃO DE SERVIÇOS DE LIMPEZA </t>
  </si>
  <si>
    <t>1/(30x1000)</t>
  </si>
  <si>
    <r>
      <t>Camiseta, tipo T-shirt) manga curta (</t>
    </r>
    <r>
      <rPr>
        <b/>
        <sz val="10"/>
        <color rgb="FF000000"/>
        <rFont val="Times New Roman"/>
        <family val="1"/>
      </rPr>
      <t>Tecido:</t>
    </r>
    <r>
      <rPr>
        <sz val="10"/>
        <color rgb="FF000000"/>
        <rFont val="Times New Roman"/>
        <family val="1"/>
      </rPr>
      <t xml:space="preserve"> Malha PV (67% poliéster e 33% viscose) ou Dry Fit (poliéster com elastano)</t>
    </r>
  </si>
  <si>
    <r>
      <t>Boné árabe (</t>
    </r>
    <r>
      <rPr>
        <i/>
        <sz val="11"/>
        <color theme="1"/>
        <rFont val="Calibri"/>
        <family val="2"/>
        <scheme val="minor"/>
      </rPr>
      <t>Chapéu Pescador Com Protetor Sol Nuca) Microfibra ou brim. </t>
    </r>
  </si>
  <si>
    <r>
      <t>Bota de segurança ( t</t>
    </r>
    <r>
      <rPr>
        <sz val="11"/>
        <color theme="1"/>
        <rFont val="Calibri"/>
        <family val="2"/>
        <scheme val="minor"/>
      </rPr>
      <t>ipo fechado, antiderrapante, com ou sem biqueira, dependendo do grau de risco da função;)</t>
    </r>
  </si>
  <si>
    <t>Capa (tipo motoqueiro) </t>
  </si>
  <si>
    <r>
      <t>Calça (</t>
    </r>
    <r>
      <rPr>
        <sz val="11"/>
        <color theme="1"/>
        <rFont val="Calibri"/>
        <family val="2"/>
        <scheme val="minor"/>
      </rPr>
      <t>Sarja mista (algodão com poliéster) ou brim leve)</t>
    </r>
  </si>
  <si>
    <r>
      <t>Avental (</t>
    </r>
    <r>
      <rPr>
        <sz val="11"/>
        <color theme="1"/>
        <rFont val="Calibri"/>
        <family val="2"/>
        <scheme val="minor"/>
      </rPr>
      <t>impermeável (PVC ou napa)</t>
    </r>
  </si>
  <si>
    <t>Bota Longa (tipo para Mergulho ver descrição) </t>
  </si>
  <si>
    <r>
      <t>Calça brim ou sarja ( </t>
    </r>
    <r>
      <rPr>
        <sz val="11"/>
        <color theme="1"/>
        <rFont val="Calibri"/>
        <family val="2"/>
        <scheme val="minor"/>
      </rPr>
      <t>resistente e confortável, com bolsos funcionais) </t>
    </r>
  </si>
  <si>
    <r>
      <t>Camiseta, tipo T-shirt manga curta (</t>
    </r>
    <r>
      <rPr>
        <sz val="11"/>
        <color theme="1"/>
        <rFont val="Calibri"/>
        <family val="2"/>
        <scheme val="minor"/>
      </rPr>
      <t>tecido algodão com poliéster, manga curta, com logotipo da empresa bordado)</t>
    </r>
  </si>
  <si>
    <r>
      <t>Macacão </t>
    </r>
    <r>
      <rPr>
        <sz val="11"/>
        <color theme="1"/>
        <rFont val="Calibri"/>
        <family val="2"/>
        <scheme val="minor"/>
      </rPr>
      <t>Oxford impermeável, poliéster com PVC ou tactel com revestimento. Modelo: Inteiriço, tipo jardineira ou com fechamento frontal em zíper. similar ou superior.</t>
    </r>
  </si>
  <si>
    <t>ALIANÇA SERVIÇOS ESPECIALIZADOS EM 
CNPJ: 43.345.950/0001-60</t>
  </si>
  <si>
    <t xml:space="preserve">PE 90007-2024 MINISTÉRIO DO TURISMO </t>
  </si>
  <si>
    <t>Data base da categoria (dia/mês/ano) - Vigência  01º de janeiro de
2025 a 31 de dezembro de 2026 e a data-base da categoria em 01º de janeiro.</t>
  </si>
  <si>
    <t>Data base da categoria (dia/mês/ano) - Vigência   01º de janeiro de 2025 a 31 de dezembro de 2026 e a data-base da categoria em 01º de janeiro.</t>
  </si>
  <si>
    <t>56.88</t>
  </si>
  <si>
    <t>Fertilizante Foliar, Fornecimento embalagem de 1 litro.</t>
  </si>
  <si>
    <t xml:space="preserve">SITES ESPECIALIZADOS </t>
  </si>
  <si>
    <t>MÉDIA DOS VALORES</t>
  </si>
  <si>
    <t>Sites Especializados</t>
  </si>
  <si>
    <t>REAL JG FACILITIES
CNPJ: 08.247.960/0001-62</t>
  </si>
  <si>
    <t>Área de copa 1º SS - Refeítorio</t>
  </si>
  <si>
    <t>2/(4x130)</t>
  </si>
  <si>
    <t xml:space="preserve">Área Mezanino Proclima  e Limpeza (e) </t>
  </si>
  <si>
    <r>
      <t xml:space="preserve">Assistência Odontológica </t>
    </r>
    <r>
      <rPr>
        <sz val="8"/>
        <rFont val="Times New Roman"/>
        <family val="1"/>
      </rPr>
      <t>- CLÁUSULA DÉCIMA SÉTIMA</t>
    </r>
  </si>
  <si>
    <t>Preço Total</t>
  </si>
  <si>
    <t>Média dos Valores Unit.</t>
  </si>
  <si>
    <t>Total Mensal/Funcionário (31)</t>
  </si>
  <si>
    <t>Servente / Higenizador de Banheiro</t>
  </si>
  <si>
    <t xml:space="preserve">* </t>
  </si>
  <si>
    <t>Avental  PVC</t>
  </si>
  <si>
    <t>Calça Sarja</t>
  </si>
  <si>
    <t>Cinta faixa abdominal - Lombar</t>
  </si>
  <si>
    <t>1 Encarregado / 30 Postos</t>
  </si>
  <si>
    <t>Salário Base - 40 hs/semana</t>
  </si>
  <si>
    <t>Lavador de auto (1)</t>
  </si>
  <si>
    <t>Jardineiro (1)</t>
  </si>
  <si>
    <t>Carregador de Móveis (4)</t>
  </si>
  <si>
    <t xml:space="preserve">Encarregada (o) (1) </t>
  </si>
  <si>
    <t>Jauzeiro (Servente de Fachada) (2)</t>
  </si>
  <si>
    <t>Servente  e Higienização de Banheiro (22)</t>
  </si>
  <si>
    <t>90001/2024 
Conselho Federal de Biologia</t>
  </si>
  <si>
    <t>MINISTÉRIO DA CULTURA PE 90007/2024</t>
  </si>
  <si>
    <t>HOSPITAL MILITAR DE ÁREA DE BRASÍLIA PE 90041/2024</t>
  </si>
  <si>
    <t>Calça feminina (confeccionadas em tecido algodão/poliéster, cor padrão)</t>
  </si>
  <si>
    <t>Calça masculina (confeccionadas em tecido algodão/poliéster, cor padrão)</t>
  </si>
  <si>
    <t>Blazer feminino (Confeccionado em tecido gabardine)</t>
  </si>
  <si>
    <t>Blazer masculino (Confeccionado em tecido gabardine)</t>
  </si>
  <si>
    <t>Sapato feminino  (Fabricado em couro de boa qualidade)</t>
  </si>
  <si>
    <t>Sapato masculino (Fabricado em couro de boa qualidade)</t>
  </si>
  <si>
    <t>PE 90001-2024
INSTITUTO FEDERAL DO RIO GRANDE DO SUL</t>
  </si>
  <si>
    <t>INSTITUTO FEDERAL DO RIO GRANDE DO SUL
PE 90001/2024</t>
  </si>
  <si>
    <t>1 Servente/900m²/1dia(8hs)</t>
  </si>
  <si>
    <t>1 Servente/120m²/1dia(8hs)</t>
  </si>
  <si>
    <t>Área Interna - II - Produtividade: 1servente/100m² - Banheiros - (IN 5/2017)</t>
  </si>
  <si>
    <t>*Inclusão de 1 Jauzeiro (Justificado no ETP)</t>
  </si>
  <si>
    <t>1/(30x100)</t>
  </si>
  <si>
    <t>1/100</t>
  </si>
  <si>
    <t>Área Interna - I - Produtividade: 1servente/900m² - Pisos Frios e Acarpetados (IN 5/2017)</t>
  </si>
  <si>
    <t>1/900</t>
  </si>
  <si>
    <t>1/(30x900)</t>
  </si>
  <si>
    <t>TOTAL DE 24 MESES</t>
  </si>
  <si>
    <t>Área Interna - III - Produtividade: 1servente/1.200m² - Piso Liso da Garagem (áreas com espaço livre) - (IN 5/2017)</t>
  </si>
  <si>
    <r>
      <rPr>
        <b/>
        <sz val="10"/>
        <color theme="1"/>
        <rFont val="Times New Roman"/>
        <family val="1"/>
      </rPr>
      <t xml:space="preserve">Multa do FGTS sobre o Aviso Prévio Indenizado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</si>
  <si>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i/>
        <sz val="9"/>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</si>
  <si>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t xml:space="preserve">Multa do FGTS sobre o Aviso Prévio Indenizado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</si>
  <si>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sz val="10"/>
        <color theme="1"/>
        <rFont val="Times New Roman"/>
        <family val="1"/>
      </rPr>
      <t xml:space="preserve">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</si>
  <si>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9"/>
        <color theme="1"/>
        <rFont val="Times New Roman"/>
        <family val="1"/>
      </rPr>
      <t xml:space="preserve">Multa do FGTS sobre o Aviso Prévio Indenizado                                                   
 </t>
    </r>
    <r>
      <rPr>
        <i/>
        <sz val="8"/>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</si>
  <si>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sz val="10"/>
        <color theme="1"/>
        <rFont val="Times New Roman"/>
        <family val="1"/>
      </rPr>
      <t xml:space="preserve">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</si>
  <si>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t xml:space="preserve">Multa do FGTS sobre o Aviso Prévio Indenizado                                                   
</t>
    </r>
    <r>
      <rPr>
        <i/>
        <sz val="8"/>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</si>
  <si>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t xml:space="preserve">Adicional de Periculosidade  - CLÁUSULA DÉCIMA QUINTA                                                                                    </t>
    </r>
    <r>
      <rPr>
        <sz val="8"/>
        <color theme="1"/>
        <rFont val="Times New Roman"/>
        <family val="1"/>
      </rPr>
      <t xml:space="preserve">                                      </t>
    </r>
  </si>
  <si>
    <t>Adicional  de Insalubridade - CLÁUSULA DÉCIMA TERCEIRA</t>
  </si>
  <si>
    <r>
      <rPr>
        <b/>
        <sz val="10"/>
        <color theme="1"/>
        <rFont val="Times New Roman"/>
        <family val="1"/>
      </rPr>
      <t>Auxílio Transporte</t>
    </r>
    <r>
      <rPr>
        <sz val="10"/>
        <color theme="1"/>
        <rFont val="Times New Roman"/>
        <family val="1"/>
      </rPr>
      <t xml:space="preserve"> ((R$ 5,50)x2x21 dias) - 6% Salário Base  - Itinerário: Cidade Satélite/Estação Rodoviária P.P/Esplanada/Vice-versa - </t>
    </r>
    <r>
      <rPr>
        <sz val="8"/>
        <color theme="1"/>
        <rFont val="Times New Roman"/>
        <family val="1"/>
      </rPr>
      <t>CLÁUSULA DÉCIMA OITAVA</t>
    </r>
  </si>
  <si>
    <r>
      <rPr>
        <b/>
        <sz val="10"/>
        <color theme="1"/>
        <rFont val="Times New Roman"/>
        <family val="1"/>
      </rPr>
      <t>Auxílio Alimentação</t>
    </r>
    <r>
      <rPr>
        <sz val="10"/>
        <color theme="1"/>
        <rFont val="Times New Roman"/>
        <family val="1"/>
      </rPr>
      <t xml:space="preserve"> (Valor de R$44,30 x 21 dias efetivamente trabalhados) - </t>
    </r>
    <r>
      <rPr>
        <sz val="8"/>
        <color theme="1"/>
        <rFont val="Times New Roman"/>
        <family val="1"/>
      </rPr>
      <t>CLÁUSULA DÉCIMA SÉTIMA</t>
    </r>
  </si>
  <si>
    <r>
      <t xml:space="preserve">Auxílio Saúde - </t>
    </r>
    <r>
      <rPr>
        <sz val="8"/>
        <rFont val="Times New Roman"/>
        <family val="1"/>
      </rPr>
      <t>CLÁUSULA DÉCIMA NONA- PLANO AMBULATORIAL</t>
    </r>
  </si>
  <si>
    <r>
      <t xml:space="preserve">Assistência Odontológica </t>
    </r>
    <r>
      <rPr>
        <sz val="8"/>
        <rFont val="Times New Roman"/>
        <family val="1"/>
      </rPr>
      <t>- CLÁUSULA DÉCIMA VIGÉSIMA</t>
    </r>
  </si>
  <si>
    <r>
      <t xml:space="preserve">Seguro de Vida e Assistência Funeral - </t>
    </r>
    <r>
      <rPr>
        <sz val="9"/>
        <rFont val="Times New Roman"/>
        <family val="1"/>
      </rPr>
      <t xml:space="preserve">CLÁUSULA VIGÉSIMA -  Parágrafo Primeiro  </t>
    </r>
  </si>
  <si>
    <r>
      <rPr>
        <b/>
        <sz val="10"/>
        <color theme="1"/>
        <rFont val="Times New Roman"/>
        <family val="1"/>
      </rPr>
      <t xml:space="preserve">Auxílio Transporte ((R$ 5,50)x2x21 dias) - 6% Salário Base  - </t>
    </r>
    <r>
      <rPr>
        <sz val="10"/>
        <color theme="1"/>
        <rFont val="Times New Roman"/>
        <family val="1"/>
      </rPr>
      <t>Itinerário: Cidade Satélite/Estação Rodoviária P.P/Esplanada/Vice-versa - CLÁUSULA DÉCIMA OITAVA</t>
    </r>
  </si>
  <si>
    <r>
      <rPr>
        <b/>
        <sz val="10"/>
        <color theme="1"/>
        <rFont val="Times New Roman"/>
        <family val="1"/>
      </rPr>
      <t>Auxílio Transporte ((R$ 5,50)x2x21 dias) - 6% Salário Base  -</t>
    </r>
    <r>
      <rPr>
        <sz val="10"/>
        <color theme="1"/>
        <rFont val="Times New Roman"/>
        <family val="1"/>
      </rPr>
      <t xml:space="preserve"> Itinerário: Cidade Satélite/Estação Rodoviária P.P/Esplanada/Vice-versa - CLÁUSULA DÉCIMA OITAVA</t>
    </r>
  </si>
  <si>
    <r>
      <rPr>
        <b/>
        <sz val="10"/>
        <color theme="1"/>
        <rFont val="Times New Roman"/>
        <family val="1"/>
      </rPr>
      <t xml:space="preserve">Auxílio Transporte ((R$ 5,50)x2x21 dias) - 6% Salário Base  </t>
    </r>
    <r>
      <rPr>
        <sz val="10"/>
        <color theme="1"/>
        <rFont val="Times New Roman"/>
        <family val="1"/>
      </rPr>
      <t>- Itinerário: Cidade Satélite/Estação Rodoviária P.P/Esplanada/Vice-versa - CLÁUSULA DÉCIMA OITAVA</t>
    </r>
  </si>
  <si>
    <r>
      <rPr>
        <b/>
        <sz val="10"/>
        <color theme="1"/>
        <rFont val="Times New Roman"/>
        <family val="1"/>
      </rPr>
      <t>Auxílio Alimentação (Valor de R$44,30 x 21 dias efetivamente trabalhados) -</t>
    </r>
    <r>
      <rPr>
        <sz val="10"/>
        <color theme="1"/>
        <rFont val="Times New Roman"/>
        <family val="1"/>
      </rPr>
      <t xml:space="preserve"> CLÁUSULA DÉCIMA SÉTIMA</t>
    </r>
  </si>
  <si>
    <r>
      <rPr>
        <b/>
        <sz val="10"/>
        <color theme="1"/>
        <rFont val="Times New Roman"/>
        <family val="1"/>
      </rPr>
      <t xml:space="preserve">Auxílio Alimentação (Valor de R$44,30 x 21 dias efetivamente trabalhados) - </t>
    </r>
    <r>
      <rPr>
        <sz val="10"/>
        <color theme="1"/>
        <rFont val="Times New Roman"/>
        <family val="1"/>
      </rPr>
      <t>CLÁUSULA DÉCIMA SÉTIMA</t>
    </r>
  </si>
  <si>
    <r>
      <rPr>
        <b/>
        <sz val="10"/>
        <color theme="1"/>
        <rFont val="Times New Roman"/>
        <family val="1"/>
      </rPr>
      <t xml:space="preserve">Auxílio Alimentação (Valor de R$44,30 x 21 dias efetivamente trabalhados) </t>
    </r>
    <r>
      <rPr>
        <sz val="10"/>
        <color theme="1"/>
        <rFont val="Times New Roman"/>
        <family val="1"/>
      </rPr>
      <t>- CLÁUSULA DÉCIMA SÉTIMA</t>
    </r>
  </si>
  <si>
    <r>
      <t>Auxílio Saúde -</t>
    </r>
    <r>
      <rPr>
        <sz val="10"/>
        <rFont val="Times New Roman"/>
        <family val="1"/>
      </rPr>
      <t xml:space="preserve"> CLÁUSULA DÉCIMA NONA- PLANO AMBULATORIAL</t>
    </r>
  </si>
  <si>
    <r>
      <t>Auxílio Saúde -</t>
    </r>
    <r>
      <rPr>
        <sz val="10"/>
        <color theme="1"/>
        <rFont val="Times New Roman"/>
        <family val="1"/>
      </rPr>
      <t xml:space="preserve"> CLÁUSULA DÉCIMA NONA- PLANO AMBULATORIAL</t>
    </r>
  </si>
  <si>
    <r>
      <t xml:space="preserve">Auxílio Saúde - </t>
    </r>
    <r>
      <rPr>
        <sz val="10"/>
        <color theme="1"/>
        <rFont val="Times New Roman"/>
        <family val="1"/>
      </rPr>
      <t>CLÁUSULA DÉCIMA NONA- PLANO AMBULATORIAL</t>
    </r>
  </si>
  <si>
    <r>
      <t xml:space="preserve">Auxílio Saúde - </t>
    </r>
    <r>
      <rPr>
        <sz val="10"/>
        <rFont val="Times New Roman"/>
        <family val="1"/>
      </rPr>
      <t>CLÁUSULA DÉCIMA NONA- PLANO AMBULATORIAL</t>
    </r>
  </si>
  <si>
    <r>
      <t xml:space="preserve">Assistência Odontológica - </t>
    </r>
    <r>
      <rPr>
        <sz val="10"/>
        <rFont val="Times New Roman"/>
        <family val="1"/>
      </rPr>
      <t>CLÁUSULA DÉCIMA VIGÉSIMA</t>
    </r>
  </si>
  <si>
    <r>
      <t>Assistência Odontológica -</t>
    </r>
    <r>
      <rPr>
        <sz val="10"/>
        <color theme="1"/>
        <rFont val="Times New Roman"/>
        <family val="1"/>
      </rPr>
      <t xml:space="preserve"> CLÁUSULA DÉCIMA VIGÉSIMA</t>
    </r>
  </si>
  <si>
    <r>
      <t xml:space="preserve">Assistência Odontológica - </t>
    </r>
    <r>
      <rPr>
        <sz val="10"/>
        <color theme="1"/>
        <rFont val="Times New Roman"/>
        <family val="1"/>
      </rPr>
      <t>CLÁUSULA DÉCIMA VIGÉSIMA</t>
    </r>
  </si>
  <si>
    <r>
      <t xml:space="preserve">Assistência Odontológica </t>
    </r>
    <r>
      <rPr>
        <sz val="10"/>
        <rFont val="Times New Roman"/>
        <family val="1"/>
      </rPr>
      <t>- CLÁUSULA DÉCIMA VIGÉSIMA</t>
    </r>
  </si>
  <si>
    <r>
      <t xml:space="preserve">Seguro de Vida e Assistência Funeral - </t>
    </r>
    <r>
      <rPr>
        <sz val="10"/>
        <color theme="1"/>
        <rFont val="Times New Roman"/>
        <family val="1"/>
      </rPr>
      <t xml:space="preserve">CLÁUSULA VIGÉSIMA -  Parágrafo Primeiro  </t>
    </r>
  </si>
  <si>
    <r>
      <t xml:space="preserve">Seguro de Vida e Assistência Funeral - </t>
    </r>
    <r>
      <rPr>
        <sz val="10"/>
        <rFont val="Times New Roman"/>
        <family val="1"/>
      </rPr>
      <t xml:space="preserve">CLÁUSULA VIGÉSIMA -  Parágrafo Primeiro  </t>
    </r>
  </si>
  <si>
    <r>
      <t>Seguro de Vida e Assistência Funeral -</t>
    </r>
    <r>
      <rPr>
        <sz val="10"/>
        <color theme="1"/>
        <rFont val="Times New Roman"/>
        <family val="1"/>
      </rPr>
      <t xml:space="preserve"> CLÁUSULA VIGÉSIMA -  Parágrafo Primeiro  </t>
    </r>
  </si>
  <si>
    <r>
      <t xml:space="preserve">Seguro de Vida e Assistência Funeral - </t>
    </r>
    <r>
      <rPr>
        <sz val="10"/>
        <rFont val="Times New Roman"/>
        <family val="1"/>
      </rPr>
      <t xml:space="preserve">CLÁUSULA VIGÉSIMA -  Parágrafo Primeiro  </t>
    </r>
    <r>
      <rPr>
        <sz val="9"/>
        <rFont val="Times New Roman"/>
        <family val="1"/>
      </rPr>
      <t xml:space="preserve"> </t>
    </r>
  </si>
  <si>
    <t>ANEXO VII-D - Instrução Normativa nº 5/2017-SEGES/MPDG -  INSTRUÇÃO NORMATIVA Nº 7, DE 20 DE SETEMBRO DE 2018 - SEM DESONERAÇÃO DO INSS</t>
  </si>
  <si>
    <t>ANEXO VII-D - Instrução Normativa nº 5/2017-SEGES/MPDG -  INSTRUÇÃO NORMATIVA Nº 7, DE 20 DE SETEMBRO DE 2018- SEM DESONERAÇÃO DO INSS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</si>
</sst>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quot;R$&quot;#,##0.00;[Red]\-&quot;R$&quot;#,##0.00"/>
    <numFmt numFmtId="165" formatCode="_-&quot;R$&quot;* #,##0.00_-;\-&quot;R$&quot;* #,##0.00_-;_-&quot;R$&quot;* &quot;-&quot;??_-;_-@_-"/>
    <numFmt numFmtId="166" formatCode="&quot;R$&quot;\ #,##0.00"/>
    <numFmt numFmtId="167" formatCode="0.000%"/>
    <numFmt numFmtId="168" formatCode="#,##0.00_ ;\-#,##0.00\ "/>
    <numFmt numFmtId="169" formatCode="#,##0.0000000"/>
  </numFmts>
  <fonts count="54" x14ac:knownFonts="1">
    <font>
      <sz val="11"/>
      <color theme="1"/>
      <name val="Calibri"/>
      <family val="2"/>
      <scheme val="minor"/>
    </font>
    <font>
      <sz val="12"/>
      <color theme="1"/>
      <name val="Times New Roman"/>
      <family val="1"/>
    </font>
    <font>
      <b/>
      <sz val="12"/>
      <color theme="1"/>
      <name val="Times New Roman"/>
      <family val="1"/>
    </font>
    <font>
      <b/>
      <sz val="10"/>
      <color theme="1"/>
      <name val="Times New Roman"/>
      <family val="1"/>
    </font>
    <font>
      <sz val="10"/>
      <color theme="1"/>
      <name val="Times New Roman"/>
      <family val="1"/>
    </font>
    <font>
      <b/>
      <sz val="10"/>
      <name val="Times New Roman"/>
      <family val="1"/>
    </font>
    <font>
      <sz val="10"/>
      <color theme="1"/>
      <name val="Calibri"/>
      <family val="2"/>
      <scheme val="minor"/>
    </font>
    <font>
      <sz val="10"/>
      <name val="Times New Roman"/>
      <family val="1"/>
    </font>
    <font>
      <b/>
      <sz val="10"/>
      <color theme="1"/>
      <name val="Calibri"/>
      <family val="2"/>
      <scheme val="minor"/>
    </font>
    <font>
      <i/>
      <sz val="10"/>
      <color theme="1"/>
      <name val="Times New Roman"/>
      <family val="1"/>
    </font>
    <font>
      <sz val="11"/>
      <color theme="1"/>
      <name val="Calibri"/>
      <family val="2"/>
      <scheme val="minor"/>
    </font>
    <font>
      <b/>
      <sz val="9"/>
      <color theme="1"/>
      <name val="Times New Roman"/>
      <family val="1"/>
    </font>
    <font>
      <b/>
      <strike/>
      <sz val="9"/>
      <color theme="1"/>
      <name val="Times New Roman"/>
      <family val="1"/>
    </font>
    <font>
      <b/>
      <sz val="8"/>
      <color theme="1"/>
      <name val="Times New Roman"/>
      <family val="1"/>
    </font>
    <font>
      <strike/>
      <sz val="10"/>
      <color theme="1"/>
      <name val="Times New Roman"/>
      <family val="1"/>
    </font>
    <font>
      <sz val="8"/>
      <color theme="1"/>
      <name val="Times New Roman"/>
      <family val="1"/>
    </font>
    <font>
      <b/>
      <sz val="11"/>
      <color theme="1"/>
      <name val="Times New Roman"/>
      <family val="1"/>
    </font>
    <font>
      <sz val="9"/>
      <color theme="1"/>
      <name val="Times New Roman"/>
      <family val="1"/>
    </font>
    <font>
      <sz val="8"/>
      <color rgb="FF000000"/>
      <name val="Times New Roman"/>
      <family val="1"/>
    </font>
    <font>
      <b/>
      <sz val="8"/>
      <color rgb="FF000000"/>
      <name val="Times New Roman"/>
      <family val="1"/>
    </font>
    <font>
      <b/>
      <sz val="8"/>
      <name val="Times New Roman"/>
      <family val="1"/>
    </font>
    <font>
      <b/>
      <sz val="8"/>
      <color indexed="81"/>
      <name val="Tahoma"/>
      <family val="2"/>
    </font>
    <font>
      <sz val="8"/>
      <color indexed="81"/>
      <name val="Tahoma"/>
      <family val="2"/>
    </font>
    <font>
      <sz val="11"/>
      <color theme="1"/>
      <name val="Times New Roman"/>
      <family val="1"/>
    </font>
    <font>
      <sz val="10"/>
      <color rgb="FF000000"/>
      <name val="Times New Roman"/>
      <family val="1"/>
    </font>
    <font>
      <b/>
      <sz val="10"/>
      <color rgb="FF000000"/>
      <name val="Times New Roman"/>
      <family val="1"/>
    </font>
    <font>
      <sz val="12"/>
      <color rgb="FF000000"/>
      <name val="Calibri"/>
      <family val="2"/>
      <scheme val="minor"/>
    </font>
    <font>
      <b/>
      <sz val="9"/>
      <name val="Calibri"/>
      <family val="2"/>
      <scheme val="minor"/>
    </font>
    <font>
      <sz val="9"/>
      <color theme="1"/>
      <name val="Calibri"/>
      <family val="2"/>
      <scheme val="minor"/>
    </font>
    <font>
      <sz val="9"/>
      <name val="Calibri"/>
      <family val="2"/>
      <scheme val="minor"/>
    </font>
    <font>
      <b/>
      <sz val="11"/>
      <name val="Arial"/>
      <family val="2"/>
    </font>
    <font>
      <b/>
      <u/>
      <sz val="11"/>
      <name val="Arial"/>
      <family val="2"/>
    </font>
    <font>
      <sz val="10"/>
      <name val="Arial"/>
      <family val="2"/>
    </font>
    <font>
      <sz val="9"/>
      <name val="Arial"/>
      <family val="2"/>
    </font>
    <font>
      <b/>
      <sz val="10"/>
      <name val="Arial"/>
      <family val="2"/>
    </font>
    <font>
      <sz val="12"/>
      <name val="Arial"/>
      <family val="2"/>
    </font>
    <font>
      <sz val="10"/>
      <color rgb="FFFF0000"/>
      <name val="Arial"/>
      <family val="2"/>
    </font>
    <font>
      <b/>
      <sz val="8"/>
      <color rgb="FF000000"/>
      <name val="Arial"/>
      <family val="2"/>
    </font>
    <font>
      <sz val="11"/>
      <name val="Arial"/>
      <family val="2"/>
    </font>
    <font>
      <b/>
      <sz val="14"/>
      <name val="Arial"/>
      <family val="2"/>
    </font>
    <font>
      <b/>
      <sz val="12"/>
      <name val="Arial"/>
      <family val="2"/>
    </font>
    <font>
      <b/>
      <sz val="9"/>
      <name val="Arial"/>
      <family val="2"/>
    </font>
    <font>
      <u/>
      <sz val="11"/>
      <color theme="10"/>
      <name val="Calibri"/>
      <family val="2"/>
      <scheme val="minor"/>
    </font>
    <font>
      <sz val="12.1"/>
      <name val="Arial"/>
      <family val="2"/>
    </font>
    <font>
      <b/>
      <sz val="12"/>
      <color theme="1"/>
      <name val="Calibri"/>
      <family val="2"/>
    </font>
    <font>
      <u/>
      <sz val="10"/>
      <color theme="10"/>
      <name val="Times New Roman"/>
      <family val="1"/>
    </font>
    <font>
      <b/>
      <sz val="11"/>
      <color theme="1"/>
      <name val="Calibri"/>
      <family val="2"/>
      <scheme val="minor"/>
    </font>
    <font>
      <i/>
      <sz val="11"/>
      <color theme="1"/>
      <name val="Calibri"/>
      <family val="2"/>
      <scheme val="minor"/>
    </font>
    <font>
      <b/>
      <sz val="9"/>
      <color theme="1"/>
      <name val="Calibri"/>
      <family val="2"/>
    </font>
    <font>
      <sz val="8"/>
      <name val="Calibri"/>
      <family val="2"/>
      <scheme val="minor"/>
    </font>
    <font>
      <sz val="8"/>
      <name val="Times New Roman"/>
      <family val="1"/>
    </font>
    <font>
      <sz val="9"/>
      <name val="Times New Roman"/>
      <family val="1"/>
    </font>
    <font>
      <i/>
      <sz val="9"/>
      <color theme="1"/>
      <name val="Times New Roman"/>
      <family val="1"/>
    </font>
    <font>
      <i/>
      <sz val="8"/>
      <color theme="1"/>
      <name val="Times New Roman"/>
      <family val="1"/>
    </font>
  </fonts>
  <fills count="23">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rgb="FF000000"/>
      </right>
      <top/>
      <bottom style="medium">
        <color indexed="64"/>
      </bottom>
      <diagonal/>
    </border>
    <border>
      <left style="medium">
        <color indexed="64"/>
      </left>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style="medium">
        <color indexed="64"/>
      </left>
      <right style="medium">
        <color rgb="FF000000"/>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rgb="FF000000"/>
      </right>
      <top style="medium">
        <color indexed="64"/>
      </top>
      <bottom style="medium">
        <color rgb="FF000000"/>
      </bottom>
      <diagonal/>
    </border>
  </borders>
  <cellStyleXfs count="5">
    <xf numFmtId="0" fontId="0" fillId="0" borderId="0"/>
    <xf numFmtId="165" fontId="10" fillId="0" borderId="0" applyFont="0" applyFill="0" applyBorder="0" applyAlignment="0" applyProtection="0"/>
    <xf numFmtId="43" fontId="10" fillId="0" borderId="0" applyFont="0" applyFill="0" applyBorder="0" applyAlignment="0" applyProtection="0"/>
    <xf numFmtId="0" fontId="10" fillId="0" borderId="0"/>
    <xf numFmtId="0" fontId="42" fillId="0" borderId="0" applyNumberFormat="0" applyFill="0" applyBorder="0" applyAlignment="0" applyProtection="0"/>
  </cellStyleXfs>
  <cellXfs count="617">
    <xf numFmtId="0" fontId="0" fillId="0" borderId="0" xfId="0"/>
    <xf numFmtId="0" fontId="4" fillId="0" borderId="4" xfId="0" applyFont="1" applyBorder="1" applyAlignment="1">
      <alignment horizontal="center" vertical="center" wrapText="1"/>
    </xf>
    <xf numFmtId="0" fontId="6" fillId="0" borderId="0" xfId="0" applyFont="1" applyAlignment="1">
      <alignment horizontal="left"/>
    </xf>
    <xf numFmtId="4" fontId="4" fillId="0" borderId="4"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4" fillId="0" borderId="4" xfId="0" applyFont="1" applyBorder="1" applyAlignment="1">
      <alignment horizontal="left" vertical="center" wrapText="1"/>
    </xf>
    <xf numFmtId="0" fontId="3" fillId="0" borderId="4" xfId="0" applyFont="1" applyBorder="1" applyAlignment="1">
      <alignment vertical="center" wrapText="1"/>
    </xf>
    <xf numFmtId="0" fontId="0" fillId="0" borderId="4" xfId="0" applyBorder="1"/>
    <xf numFmtId="0" fontId="3" fillId="0" borderId="4" xfId="0" applyFont="1" applyBorder="1" applyAlignment="1">
      <alignment horizontal="center" vertical="center" wrapText="1"/>
    </xf>
    <xf numFmtId="0" fontId="11" fillId="5" borderId="1" xfId="3" applyFont="1" applyFill="1" applyBorder="1" applyAlignment="1">
      <alignment horizontal="center" vertical="center" wrapText="1"/>
    </xf>
    <xf numFmtId="0" fontId="11" fillId="5" borderId="2" xfId="3" applyFont="1" applyFill="1" applyBorder="1" applyAlignment="1">
      <alignment horizontal="center" vertical="center" wrapText="1"/>
    </xf>
    <xf numFmtId="0" fontId="11" fillId="5" borderId="3" xfId="3" applyFont="1" applyFill="1" applyBorder="1" applyAlignment="1">
      <alignment horizontal="center" vertical="center" wrapText="1"/>
    </xf>
    <xf numFmtId="0" fontId="3" fillId="5" borderId="4" xfId="3" applyFont="1" applyFill="1" applyBorder="1" applyAlignment="1">
      <alignment horizontal="center" vertical="center" wrapText="1"/>
    </xf>
    <xf numFmtId="0" fontId="3" fillId="0" borderId="4" xfId="3" applyFont="1" applyBorder="1" applyAlignment="1">
      <alignment horizontal="center" vertical="center" wrapText="1"/>
    </xf>
    <xf numFmtId="0" fontId="4" fillId="5" borderId="0" xfId="3" applyFont="1" applyFill="1" applyAlignment="1">
      <alignment wrapText="1"/>
    </xf>
    <xf numFmtId="0" fontId="4" fillId="5" borderId="1" xfId="3" applyFont="1" applyFill="1" applyBorder="1" applyAlignment="1">
      <alignment wrapText="1"/>
    </xf>
    <xf numFmtId="0" fontId="4" fillId="5" borderId="2" xfId="3" applyFont="1" applyFill="1" applyBorder="1" applyAlignment="1">
      <alignment wrapText="1"/>
    </xf>
    <xf numFmtId="0" fontId="4" fillId="5" borderId="3" xfId="3" applyFont="1" applyFill="1" applyBorder="1" applyAlignment="1">
      <alignment wrapText="1"/>
    </xf>
    <xf numFmtId="0" fontId="4" fillId="0" borderId="1" xfId="3" applyFont="1" applyBorder="1" applyAlignment="1">
      <alignment vertical="center" wrapText="1"/>
    </xf>
    <xf numFmtId="0" fontId="4" fillId="6" borderId="2" xfId="3" applyFont="1" applyFill="1" applyBorder="1" applyAlignment="1">
      <alignment vertical="center" wrapText="1"/>
    </xf>
    <xf numFmtId="0" fontId="4" fillId="6" borderId="4" xfId="3" applyFont="1" applyFill="1" applyBorder="1" applyAlignment="1">
      <alignment vertical="center" wrapText="1"/>
    </xf>
    <xf numFmtId="9" fontId="4" fillId="6" borderId="4" xfId="3" applyNumberFormat="1" applyFont="1" applyFill="1" applyBorder="1" applyAlignment="1">
      <alignment horizontal="center" vertical="center" wrapText="1"/>
    </xf>
    <xf numFmtId="4" fontId="3" fillId="6" borderId="4" xfId="3" applyNumberFormat="1" applyFont="1" applyFill="1" applyBorder="1" applyAlignment="1">
      <alignment horizontal="center" vertical="center" wrapText="1"/>
    </xf>
    <xf numFmtId="9" fontId="7" fillId="5" borderId="4" xfId="3" applyNumberFormat="1" applyFont="1" applyFill="1" applyBorder="1" applyAlignment="1">
      <alignment horizontal="center" vertical="center" wrapText="1"/>
    </xf>
    <xf numFmtId="4" fontId="7" fillId="5" borderId="4" xfId="3" applyNumberFormat="1" applyFont="1" applyFill="1" applyBorder="1" applyAlignment="1">
      <alignment horizontal="center" vertical="center" wrapText="1"/>
    </xf>
    <xf numFmtId="9" fontId="4" fillId="5" borderId="4" xfId="3" applyNumberFormat="1" applyFont="1" applyFill="1" applyBorder="1" applyAlignment="1">
      <alignment horizontal="center" vertical="center" wrapText="1"/>
    </xf>
    <xf numFmtId="4" fontId="4" fillId="5" borderId="4" xfId="3" applyNumberFormat="1" applyFont="1" applyFill="1" applyBorder="1" applyAlignment="1">
      <alignment horizontal="center" vertical="center" wrapText="1"/>
    </xf>
    <xf numFmtId="0" fontId="4" fillId="0" borderId="4" xfId="3" applyFont="1" applyBorder="1" applyAlignment="1">
      <alignment horizontal="center" vertical="center" wrapText="1"/>
    </xf>
    <xf numFmtId="9" fontId="3" fillId="6" borderId="4" xfId="3" applyNumberFormat="1" applyFont="1" applyFill="1" applyBorder="1" applyAlignment="1">
      <alignment horizontal="center" vertical="center" wrapText="1"/>
    </xf>
    <xf numFmtId="0" fontId="3" fillId="0" borderId="1" xfId="3" applyFont="1" applyBorder="1" applyAlignment="1">
      <alignment vertical="center" wrapText="1"/>
    </xf>
    <xf numFmtId="0" fontId="3" fillId="6" borderId="4" xfId="3" applyFont="1" applyFill="1" applyBorder="1" applyAlignment="1">
      <alignment vertical="center" wrapText="1"/>
    </xf>
    <xf numFmtId="10" fontId="4" fillId="5" borderId="4" xfId="3" applyNumberFormat="1" applyFont="1" applyFill="1" applyBorder="1" applyAlignment="1">
      <alignment horizontal="center" vertical="center" wrapText="1"/>
    </xf>
    <xf numFmtId="10" fontId="3" fillId="6" borderId="4" xfId="3" applyNumberFormat="1" applyFont="1" applyFill="1" applyBorder="1" applyAlignment="1">
      <alignment horizontal="center" vertical="center" wrapText="1"/>
    </xf>
    <xf numFmtId="0" fontId="4" fillId="5" borderId="1" xfId="3" applyFont="1" applyFill="1" applyBorder="1" applyAlignment="1">
      <alignment horizontal="left" vertical="center" wrapText="1"/>
    </xf>
    <xf numFmtId="0" fontId="4" fillId="5" borderId="2" xfId="3" applyFont="1" applyFill="1" applyBorder="1" applyAlignment="1">
      <alignment horizontal="left" vertical="center" wrapText="1"/>
    </xf>
    <xf numFmtId="0" fontId="4" fillId="5" borderId="3" xfId="3" applyFont="1" applyFill="1" applyBorder="1" applyAlignment="1">
      <alignment horizontal="left" vertical="center" wrapText="1"/>
    </xf>
    <xf numFmtId="10" fontId="11" fillId="5" borderId="4" xfId="3" applyNumberFormat="1" applyFont="1" applyFill="1" applyBorder="1" applyAlignment="1">
      <alignment horizontal="center" vertical="center" wrapText="1"/>
    </xf>
    <xf numFmtId="10" fontId="4" fillId="5" borderId="2" xfId="3" applyNumberFormat="1" applyFont="1" applyFill="1" applyBorder="1" applyAlignment="1">
      <alignment horizontal="center" vertical="center" wrapText="1"/>
    </xf>
    <xf numFmtId="4" fontId="4" fillId="5" borderId="4" xfId="3" applyNumberFormat="1" applyFont="1" applyFill="1" applyBorder="1" applyAlignment="1">
      <alignment horizontal="center" wrapText="1"/>
    </xf>
    <xf numFmtId="4" fontId="3" fillId="6" borderId="4" xfId="3" applyNumberFormat="1" applyFont="1" applyFill="1" applyBorder="1" applyAlignment="1">
      <alignment horizontal="center" wrapText="1"/>
    </xf>
    <xf numFmtId="0" fontId="3" fillId="5" borderId="1" xfId="3" applyFont="1" applyFill="1" applyBorder="1" applyAlignment="1">
      <alignment horizontal="center" vertical="center" wrapText="1"/>
    </xf>
    <xf numFmtId="0" fontId="3" fillId="5" borderId="2" xfId="3" applyFont="1" applyFill="1" applyBorder="1" applyAlignment="1">
      <alignment horizontal="left" vertical="center" wrapText="1"/>
    </xf>
    <xf numFmtId="10" fontId="3" fillId="5" borderId="2" xfId="3" applyNumberFormat="1" applyFont="1" applyFill="1" applyBorder="1" applyAlignment="1">
      <alignment horizontal="center" vertical="center" wrapText="1"/>
    </xf>
    <xf numFmtId="0" fontId="3" fillId="5" borderId="3" xfId="3" applyFont="1" applyFill="1" applyBorder="1" applyAlignment="1">
      <alignment horizontal="center" vertical="center" wrapText="1"/>
    </xf>
    <xf numFmtId="0" fontId="3" fillId="6" borderId="3" xfId="3" applyFont="1" applyFill="1" applyBorder="1" applyAlignment="1">
      <alignment vertical="center" wrapText="1"/>
    </xf>
    <xf numFmtId="0" fontId="16" fillId="0" borderId="4" xfId="3" applyFont="1" applyBorder="1" applyAlignment="1">
      <alignment wrapText="1"/>
    </xf>
    <xf numFmtId="0" fontId="4" fillId="0" borderId="4" xfId="3" applyFont="1" applyBorder="1" applyAlignment="1">
      <alignment vertical="center" wrapText="1"/>
    </xf>
    <xf numFmtId="167" fontId="4" fillId="5" borderId="4" xfId="3" applyNumberFormat="1" applyFont="1" applyFill="1" applyBorder="1" applyAlignment="1">
      <alignment horizontal="center" vertical="center" wrapText="1"/>
    </xf>
    <xf numFmtId="167" fontId="4" fillId="7" borderId="4" xfId="3" applyNumberFormat="1" applyFont="1" applyFill="1" applyBorder="1" applyAlignment="1">
      <alignment horizontal="center" vertical="center" wrapText="1"/>
    </xf>
    <xf numFmtId="4" fontId="4" fillId="7" borderId="4" xfId="3" applyNumberFormat="1" applyFont="1" applyFill="1" applyBorder="1" applyAlignment="1">
      <alignment horizontal="center" vertical="center" wrapText="1"/>
    </xf>
    <xf numFmtId="0" fontId="16" fillId="0" borderId="1" xfId="3" applyFont="1" applyBorder="1" applyAlignment="1">
      <alignment vertical="center" wrapText="1"/>
    </xf>
    <xf numFmtId="10" fontId="3" fillId="6" borderId="4" xfId="3" applyNumberFormat="1" applyFont="1" applyFill="1" applyBorder="1" applyAlignment="1">
      <alignment horizontal="center" wrapText="1"/>
    </xf>
    <xf numFmtId="0" fontId="3" fillId="5" borderId="1" xfId="3" applyFont="1" applyFill="1" applyBorder="1" applyAlignment="1">
      <alignment vertical="center" wrapText="1"/>
    </xf>
    <xf numFmtId="0" fontId="3" fillId="5" borderId="2" xfId="3" applyFont="1" applyFill="1" applyBorder="1" applyAlignment="1">
      <alignment vertical="center" wrapText="1"/>
    </xf>
    <xf numFmtId="0" fontId="3" fillId="5" borderId="3" xfId="3" applyFont="1" applyFill="1" applyBorder="1" applyAlignment="1">
      <alignment vertical="center" wrapText="1"/>
    </xf>
    <xf numFmtId="167" fontId="4" fillId="5" borderId="1" xfId="3" applyNumberFormat="1" applyFont="1" applyFill="1" applyBorder="1" applyAlignment="1">
      <alignment horizontal="center" vertical="center" wrapText="1"/>
    </xf>
    <xf numFmtId="167" fontId="4" fillId="5" borderId="4" xfId="2" applyNumberFormat="1" applyFont="1" applyFill="1" applyBorder="1" applyAlignment="1">
      <alignment horizontal="center" vertical="center" wrapText="1"/>
    </xf>
    <xf numFmtId="10" fontId="4" fillId="6" borderId="4" xfId="3" applyNumberFormat="1" applyFont="1" applyFill="1" applyBorder="1" applyAlignment="1">
      <alignment horizontal="center" vertical="center" wrapText="1"/>
    </xf>
    <xf numFmtId="0" fontId="4" fillId="5" borderId="4" xfId="3" applyFont="1" applyFill="1" applyBorder="1" applyAlignment="1">
      <alignment wrapText="1"/>
    </xf>
    <xf numFmtId="0" fontId="4" fillId="6" borderId="4" xfId="3" applyFont="1" applyFill="1" applyBorder="1" applyAlignment="1">
      <alignment wrapText="1"/>
    </xf>
    <xf numFmtId="4" fontId="4" fillId="6" borderId="4" xfId="3" applyNumberFormat="1" applyFont="1" applyFill="1" applyBorder="1" applyAlignment="1">
      <alignment horizontal="center" vertical="center" wrapText="1"/>
    </xf>
    <xf numFmtId="10" fontId="3" fillId="5" borderId="4" xfId="3" applyNumberFormat="1" applyFont="1" applyFill="1" applyBorder="1" applyAlignment="1">
      <alignment horizontal="center" vertical="center" wrapText="1"/>
    </xf>
    <xf numFmtId="4" fontId="3" fillId="5" borderId="4" xfId="3" applyNumberFormat="1" applyFont="1" applyFill="1" applyBorder="1" applyAlignment="1">
      <alignment horizontal="right" wrapText="1"/>
    </xf>
    <xf numFmtId="0" fontId="3" fillId="0" borderId="4" xfId="3" applyFont="1" applyBorder="1" applyAlignment="1">
      <alignment vertical="center" wrapText="1"/>
    </xf>
    <xf numFmtId="0" fontId="3" fillId="5" borderId="2" xfId="3" applyFont="1" applyFill="1" applyBorder="1" applyAlignment="1">
      <alignment horizontal="center" vertical="center" wrapText="1"/>
    </xf>
    <xf numFmtId="4" fontId="3" fillId="5" borderId="3" xfId="3" applyNumberFormat="1" applyFont="1" applyFill="1" applyBorder="1" applyAlignment="1">
      <alignment horizontal="center" vertical="center" wrapText="1"/>
    </xf>
    <xf numFmtId="4" fontId="5" fillId="5" borderId="4" xfId="3" applyNumberFormat="1" applyFont="1" applyFill="1" applyBorder="1" applyAlignment="1">
      <alignment horizontal="center" vertical="center" wrapText="1"/>
    </xf>
    <xf numFmtId="4" fontId="3" fillId="5" borderId="4" xfId="3" applyNumberFormat="1" applyFont="1" applyFill="1" applyBorder="1" applyAlignment="1">
      <alignment horizontal="center" vertical="center" wrapText="1"/>
    </xf>
    <xf numFmtId="0" fontId="10" fillId="5" borderId="0" xfId="3" applyFill="1" applyAlignment="1">
      <alignment wrapText="1"/>
    </xf>
    <xf numFmtId="4" fontId="3" fillId="5" borderId="3" xfId="3" applyNumberFormat="1" applyFont="1" applyFill="1" applyBorder="1" applyAlignment="1">
      <alignment horizontal="right" wrapText="1"/>
    </xf>
    <xf numFmtId="4" fontId="3" fillId="5" borderId="4" xfId="3" applyNumberFormat="1" applyFont="1" applyFill="1" applyBorder="1" applyAlignment="1">
      <alignment horizontal="center" wrapText="1"/>
    </xf>
    <xf numFmtId="0" fontId="6" fillId="5" borderId="4" xfId="3" applyFont="1" applyFill="1" applyBorder="1" applyAlignment="1">
      <alignment wrapText="1"/>
    </xf>
    <xf numFmtId="4" fontId="3" fillId="6" borderId="18" xfId="3" applyNumberFormat="1" applyFont="1" applyFill="1" applyBorder="1" applyAlignment="1">
      <alignment horizontal="center" vertical="center" wrapText="1"/>
    </xf>
    <xf numFmtId="0" fontId="4" fillId="5" borderId="4" xfId="3" applyFont="1" applyFill="1" applyBorder="1" applyAlignment="1">
      <alignment horizontal="center" vertical="center" wrapText="1"/>
    </xf>
    <xf numFmtId="168" fontId="3" fillId="5" borderId="4" xfId="3" applyNumberFormat="1" applyFont="1" applyFill="1" applyBorder="1" applyAlignment="1">
      <alignment horizontal="center" vertical="center" wrapText="1"/>
    </xf>
    <xf numFmtId="0" fontId="3" fillId="5" borderId="4" xfId="0" applyFont="1" applyFill="1" applyBorder="1" applyAlignment="1">
      <alignment vertical="center" wrapText="1"/>
    </xf>
    <xf numFmtId="0" fontId="3" fillId="5" borderId="4" xfId="0" applyFont="1" applyFill="1" applyBorder="1" applyAlignment="1">
      <alignment horizontal="center" vertical="center" wrapText="1"/>
    </xf>
    <xf numFmtId="0" fontId="3" fillId="0" borderId="1" xfId="0" applyFont="1" applyBorder="1" applyAlignment="1">
      <alignment vertical="center" wrapText="1"/>
    </xf>
    <xf numFmtId="168" fontId="3" fillId="6" borderId="4" xfId="3" applyNumberFormat="1" applyFont="1" applyFill="1" applyBorder="1" applyAlignment="1">
      <alignment horizontal="center" vertical="center" wrapText="1"/>
    </xf>
    <xf numFmtId="0" fontId="0" fillId="0" borderId="0" xfId="0" applyAlignment="1">
      <alignment wrapText="1"/>
    </xf>
    <xf numFmtId="1" fontId="4" fillId="0" borderId="4" xfId="0" applyNumberFormat="1" applyFont="1" applyBorder="1" applyAlignment="1">
      <alignment horizontal="center" vertical="center" wrapText="1"/>
    </xf>
    <xf numFmtId="0" fontId="0" fillId="0" borderId="0" xfId="0" applyAlignment="1">
      <alignment horizontal="center"/>
    </xf>
    <xf numFmtId="0" fontId="4" fillId="0" borderId="0" xfId="0" applyFont="1" applyAlignment="1">
      <alignment horizontal="left"/>
    </xf>
    <xf numFmtId="0" fontId="23" fillId="0" borderId="0" xfId="0" applyFont="1"/>
    <xf numFmtId="0" fontId="4" fillId="0" borderId="4" xfId="0" applyFont="1" applyBorder="1" applyAlignment="1">
      <alignment vertical="center" wrapText="1"/>
    </xf>
    <xf numFmtId="1" fontId="4" fillId="0" borderId="4" xfId="0" applyNumberFormat="1" applyFont="1" applyBorder="1" applyAlignment="1">
      <alignment horizontal="center" vertical="center"/>
    </xf>
    <xf numFmtId="0" fontId="6" fillId="0" borderId="0" xfId="0" applyFont="1"/>
    <xf numFmtId="0" fontId="0" fillId="0" borderId="0" xfId="0" quotePrefix="1"/>
    <xf numFmtId="0" fontId="3" fillId="0" borderId="4" xfId="0" applyFont="1" applyBorder="1" applyAlignment="1">
      <alignment horizontal="justify" vertical="center" wrapText="1"/>
    </xf>
    <xf numFmtId="0" fontId="1" fillId="0" borderId="0" xfId="0" applyFont="1" applyAlignment="1">
      <alignment horizontal="justify" vertical="center"/>
    </xf>
    <xf numFmtId="0" fontId="23" fillId="0" borderId="0" xfId="0" applyFont="1" applyAlignment="1">
      <alignment horizontal="justify" vertical="center"/>
    </xf>
    <xf numFmtId="0" fontId="1" fillId="0" borderId="0" xfId="0" applyFont="1" applyAlignment="1">
      <alignment vertical="center"/>
    </xf>
    <xf numFmtId="0" fontId="4" fillId="0" borderId="4"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0" xfId="0" applyFont="1" applyAlignment="1">
      <alignment horizontal="center"/>
    </xf>
    <xf numFmtId="4" fontId="25" fillId="0" borderId="4" xfId="0" applyNumberFormat="1" applyFont="1" applyBorder="1" applyAlignment="1">
      <alignment horizontal="center" vertical="center" wrapText="1"/>
    </xf>
    <xf numFmtId="0" fontId="26" fillId="0" borderId="15" xfId="0" applyFont="1" applyBorder="1" applyAlignment="1">
      <alignment horizontal="justify" vertical="center" wrapText="1"/>
    </xf>
    <xf numFmtId="0" fontId="26" fillId="0" borderId="8" xfId="0" applyFont="1" applyBorder="1" applyAlignment="1">
      <alignment horizontal="center" vertical="center" wrapText="1"/>
    </xf>
    <xf numFmtId="164" fontId="0" fillId="0" borderId="0" xfId="0" applyNumberFormat="1"/>
    <xf numFmtId="0" fontId="27" fillId="0" borderId="0" xfId="0" applyFont="1" applyAlignment="1">
      <alignment horizontal="left"/>
    </xf>
    <xf numFmtId="0" fontId="28" fillId="0" borderId="0" xfId="0" applyFont="1" applyAlignment="1">
      <alignment horizontal="left"/>
    </xf>
    <xf numFmtId="0" fontId="29" fillId="0" borderId="0" xfId="0" applyFont="1" applyAlignment="1">
      <alignment horizontal="left"/>
    </xf>
    <xf numFmtId="0" fontId="32" fillId="0" borderId="4" xfId="0" applyFont="1" applyBorder="1" applyAlignment="1">
      <alignment horizontal="center" vertical="center"/>
    </xf>
    <xf numFmtId="4" fontId="34" fillId="0" borderId="4" xfId="0" applyNumberFormat="1" applyFont="1" applyBorder="1" applyAlignment="1">
      <alignment horizontal="center" vertical="center"/>
    </xf>
    <xf numFmtId="0" fontId="0" fillId="0" borderId="4" xfId="0" applyBorder="1" applyAlignment="1">
      <alignment horizontal="center" vertical="center"/>
    </xf>
    <xf numFmtId="4" fontId="32" fillId="0" borderId="4" xfId="0" applyNumberFormat="1" applyFont="1" applyBorder="1" applyAlignment="1">
      <alignment horizontal="center" vertical="center"/>
    </xf>
    <xf numFmtId="0" fontId="0" fillId="0" borderId="0" xfId="0" applyAlignment="1">
      <alignment horizontal="center" vertical="center"/>
    </xf>
    <xf numFmtId="4" fontId="34" fillId="0" borderId="0" xfId="0" applyNumberFormat="1" applyFont="1" applyAlignment="1">
      <alignment horizontal="center" vertical="center"/>
    </xf>
    <xf numFmtId="4" fontId="34" fillId="0" borderId="0" xfId="0" applyNumberFormat="1" applyFont="1" applyAlignment="1">
      <alignment horizontal="center"/>
    </xf>
    <xf numFmtId="0" fontId="34" fillId="0" borderId="0" xfId="0" applyFont="1" applyAlignment="1">
      <alignment horizontal="center"/>
    </xf>
    <xf numFmtId="4" fontId="34" fillId="0" borderId="0" xfId="0" applyNumberFormat="1" applyFont="1"/>
    <xf numFmtId="0" fontId="34" fillId="9" borderId="4" xfId="0" applyFont="1" applyFill="1" applyBorder="1" applyAlignment="1">
      <alignment horizontal="center"/>
    </xf>
    <xf numFmtId="2" fontId="0" fillId="0" borderId="4" xfId="0" applyNumberFormat="1" applyBorder="1" applyAlignment="1">
      <alignment horizontal="center" vertical="center"/>
    </xf>
    <xf numFmtId="0" fontId="34" fillId="0" borderId="4" xfId="0" applyFont="1" applyBorder="1" applyAlignment="1">
      <alignment horizontal="center"/>
    </xf>
    <xf numFmtId="0" fontId="32" fillId="0" borderId="1" xfId="0" applyFont="1" applyBorder="1"/>
    <xf numFmtId="0" fontId="32" fillId="0" borderId="2" xfId="0" applyFont="1" applyBorder="1"/>
    <xf numFmtId="0" fontId="34" fillId="0" borderId="4" xfId="0" applyFont="1" applyBorder="1" applyAlignment="1">
      <alignment horizontal="center" vertical="center"/>
    </xf>
    <xf numFmtId="4" fontId="0" fillId="0" borderId="4" xfId="2" applyNumberFormat="1" applyFont="1" applyBorder="1"/>
    <xf numFmtId="43" fontId="0" fillId="0" borderId="4" xfId="2" applyFont="1" applyBorder="1" applyAlignment="1">
      <alignment horizontal="right" vertical="center"/>
    </xf>
    <xf numFmtId="43" fontId="0" fillId="0" borderId="4" xfId="2" applyFont="1" applyBorder="1"/>
    <xf numFmtId="43" fontId="0" fillId="0" borderId="4" xfId="2" applyFont="1" applyBorder="1" applyAlignment="1">
      <alignment horizontal="center" vertical="center"/>
    </xf>
    <xf numFmtId="2" fontId="0" fillId="0" borderId="4" xfId="2" applyNumberFormat="1" applyFont="1" applyBorder="1"/>
    <xf numFmtId="2" fontId="36" fillId="0" borderId="4" xfId="2" applyNumberFormat="1" applyFont="1" applyBorder="1" applyAlignment="1">
      <alignment horizontal="right" vertical="center"/>
    </xf>
    <xf numFmtId="4" fontId="34" fillId="0" borderId="4" xfId="0" applyNumberFormat="1" applyFont="1" applyBorder="1"/>
    <xf numFmtId="43" fontId="34" fillId="0" borderId="4" xfId="2" applyFont="1" applyBorder="1" applyAlignment="1">
      <alignment horizontal="center" vertical="center"/>
    </xf>
    <xf numFmtId="4" fontId="34" fillId="0" borderId="4" xfId="2" applyNumberFormat="1" applyFont="1" applyBorder="1"/>
    <xf numFmtId="4" fontId="34" fillId="0" borderId="4" xfId="2" applyNumberFormat="1" applyFont="1" applyBorder="1" applyAlignment="1">
      <alignment horizontal="center" vertical="center"/>
    </xf>
    <xf numFmtId="4" fontId="32" fillId="0" borderId="4" xfId="2" applyNumberFormat="1" applyFont="1" applyBorder="1" applyAlignment="1">
      <alignment vertical="center"/>
    </xf>
    <xf numFmtId="4" fontId="0" fillId="0" borderId="4" xfId="2" applyNumberFormat="1" applyFont="1" applyBorder="1" applyAlignment="1">
      <alignment vertical="center"/>
    </xf>
    <xf numFmtId="4" fontId="34" fillId="0" borderId="4" xfId="0" applyNumberFormat="1" applyFont="1" applyBorder="1" applyAlignment="1">
      <alignment vertical="center" wrapText="1"/>
    </xf>
    <xf numFmtId="0" fontId="37" fillId="0" borderId="0" xfId="0" applyFont="1"/>
    <xf numFmtId="0" fontId="38" fillId="0" borderId="0" xfId="0" applyFont="1" applyAlignment="1">
      <alignment horizontal="left"/>
    </xf>
    <xf numFmtId="0" fontId="30" fillId="9" borderId="24" xfId="0" applyFont="1" applyFill="1" applyBorder="1" applyAlignment="1">
      <alignment horizontal="center" vertical="center"/>
    </xf>
    <xf numFmtId="0" fontId="38" fillId="0" borderId="24" xfId="0" applyFont="1" applyBorder="1" applyAlignment="1">
      <alignment horizontal="center" vertical="center"/>
    </xf>
    <xf numFmtId="0" fontId="40" fillId="0" borderId="0" xfId="0" applyFont="1"/>
    <xf numFmtId="0" fontId="30" fillId="9" borderId="24" xfId="0" applyFont="1" applyFill="1" applyBorder="1" applyAlignment="1">
      <alignment horizontal="center" vertical="center" wrapText="1"/>
    </xf>
    <xf numFmtId="0" fontId="30" fillId="9" borderId="4" xfId="0" applyFont="1" applyFill="1" applyBorder="1" applyAlignment="1">
      <alignment horizontal="center" vertical="center" wrapText="1"/>
    </xf>
    <xf numFmtId="0" fontId="30" fillId="9" borderId="32" xfId="0" applyFont="1" applyFill="1" applyBorder="1" applyAlignment="1">
      <alignment horizontal="center" vertical="center" wrapText="1"/>
    </xf>
    <xf numFmtId="4" fontId="38" fillId="0" borderId="4" xfId="0" applyNumberFormat="1" applyFont="1" applyBorder="1" applyAlignment="1">
      <alignment horizontal="center" vertical="center"/>
    </xf>
    <xf numFmtId="3" fontId="38" fillId="0" borderId="4" xfId="0" applyNumberFormat="1" applyFont="1" applyBorder="1" applyAlignment="1">
      <alignment horizontal="center"/>
    </xf>
    <xf numFmtId="4" fontId="38" fillId="0" borderId="4" xfId="0" applyNumberFormat="1" applyFont="1" applyBorder="1" applyAlignment="1">
      <alignment horizontal="center"/>
    </xf>
    <xf numFmtId="169" fontId="38" fillId="0" borderId="4" xfId="0" applyNumberFormat="1" applyFont="1" applyBorder="1" applyAlignment="1">
      <alignment horizontal="center"/>
    </xf>
    <xf numFmtId="4" fontId="38" fillId="0" borderId="32" xfId="0" applyNumberFormat="1" applyFont="1" applyBorder="1" applyAlignment="1">
      <alignment horizontal="center"/>
    </xf>
    <xf numFmtId="0" fontId="38" fillId="0" borderId="4" xfId="0" applyFont="1" applyBorder="1" applyAlignment="1">
      <alignment horizontal="center"/>
    </xf>
    <xf numFmtId="4" fontId="30" fillId="0" borderId="33" xfId="0" applyNumberFormat="1" applyFont="1" applyBorder="1" applyAlignment="1">
      <alignment horizontal="center" vertical="center"/>
    </xf>
    <xf numFmtId="0" fontId="38" fillId="0" borderId="4" xfId="0" applyFont="1" applyBorder="1" applyAlignment="1">
      <alignment horizontal="center" vertical="center"/>
    </xf>
    <xf numFmtId="0" fontId="38" fillId="0" borderId="0" xfId="0" applyFont="1" applyAlignment="1">
      <alignment horizontal="left" vertical="center"/>
    </xf>
    <xf numFmtId="4" fontId="30" fillId="0" borderId="0" xfId="0" applyNumberFormat="1" applyFont="1" applyAlignment="1">
      <alignment horizontal="center" vertical="center"/>
    </xf>
    <xf numFmtId="0" fontId="30" fillId="14" borderId="4" xfId="0" applyFont="1" applyFill="1" applyBorder="1" applyAlignment="1">
      <alignment horizontal="center" vertical="center"/>
    </xf>
    <xf numFmtId="4" fontId="34" fillId="0" borderId="4" xfId="0" applyNumberFormat="1" applyFont="1" applyBorder="1" applyAlignment="1">
      <alignment horizontal="center"/>
    </xf>
    <xf numFmtId="0" fontId="33" fillId="0" borderId="4" xfId="0" applyFont="1" applyBorder="1" applyAlignment="1">
      <alignment horizontal="center" vertical="center" wrapText="1"/>
    </xf>
    <xf numFmtId="4" fontId="38" fillId="0" borderId="9" xfId="0" applyNumberFormat="1" applyFont="1" applyBorder="1" applyAlignment="1">
      <alignment horizontal="center" vertical="center"/>
    </xf>
    <xf numFmtId="4" fontId="30" fillId="0" borderId="37" xfId="0" applyNumberFormat="1" applyFont="1" applyBorder="1" applyAlignment="1">
      <alignment horizontal="center" vertical="center"/>
    </xf>
    <xf numFmtId="0" fontId="30" fillId="0" borderId="4" xfId="0" applyFont="1" applyBorder="1" applyAlignment="1">
      <alignment horizontal="center" vertical="center"/>
    </xf>
    <xf numFmtId="4" fontId="30" fillId="0" borderId="4" xfId="0" applyNumberFormat="1" applyFont="1" applyBorder="1" applyAlignment="1">
      <alignment horizontal="center" vertical="center"/>
    </xf>
    <xf numFmtId="3" fontId="4" fillId="0" borderId="4" xfId="0" applyNumberFormat="1" applyFont="1" applyBorder="1" applyAlignment="1">
      <alignment horizontal="center" vertical="center" wrapText="1"/>
    </xf>
    <xf numFmtId="0" fontId="24" fillId="0" borderId="4" xfId="0" applyFont="1" applyBorder="1" applyAlignment="1">
      <alignment vertical="center" wrapText="1"/>
    </xf>
    <xf numFmtId="0" fontId="7" fillId="0" borderId="4" xfId="0" applyFont="1" applyBorder="1" applyAlignment="1">
      <alignment vertical="center" wrapText="1"/>
    </xf>
    <xf numFmtId="0" fontId="45" fillId="0" borderId="4" xfId="4" applyFont="1" applyBorder="1" applyAlignment="1">
      <alignment vertical="center" wrapText="1"/>
    </xf>
    <xf numFmtId="168" fontId="3" fillId="0" borderId="4" xfId="1"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xf numFmtId="0" fontId="16" fillId="5" borderId="4" xfId="0" applyFont="1" applyFill="1" applyBorder="1" applyAlignment="1">
      <alignment horizontal="center" vertical="center" wrapText="1"/>
    </xf>
    <xf numFmtId="0" fontId="16" fillId="18" borderId="4" xfId="0" applyFont="1" applyFill="1" applyBorder="1" applyAlignment="1">
      <alignment horizontal="center" vertical="center"/>
    </xf>
    <xf numFmtId="0" fontId="16" fillId="18" borderId="4" xfId="0" applyFont="1" applyFill="1" applyBorder="1" applyAlignment="1">
      <alignment horizontal="center" vertical="center" wrapText="1"/>
    </xf>
    <xf numFmtId="0" fontId="16" fillId="18" borderId="4" xfId="0" applyFont="1" applyFill="1" applyBorder="1" applyAlignment="1">
      <alignment horizontal="left" vertical="center"/>
    </xf>
    <xf numFmtId="4" fontId="16" fillId="18" borderId="4" xfId="0" applyNumberFormat="1" applyFont="1" applyFill="1" applyBorder="1" applyAlignment="1">
      <alignment horizontal="center" vertical="center"/>
    </xf>
    <xf numFmtId="0" fontId="16" fillId="18" borderId="4" xfId="0" applyFont="1" applyFill="1" applyBorder="1" applyAlignment="1">
      <alignment horizontal="left" vertical="center" wrapText="1"/>
    </xf>
    <xf numFmtId="4" fontId="16" fillId="18" borderId="4" xfId="0" applyNumberFormat="1" applyFont="1" applyFill="1" applyBorder="1" applyAlignment="1">
      <alignment horizontal="center" vertical="center" wrapText="1"/>
    </xf>
    <xf numFmtId="0" fontId="16" fillId="18" borderId="4" xfId="0" applyFont="1" applyFill="1" applyBorder="1" applyAlignment="1">
      <alignment horizontal="right" vertical="center"/>
    </xf>
    <xf numFmtId="0" fontId="16" fillId="19" borderId="4" xfId="0" applyFont="1" applyFill="1" applyBorder="1" applyAlignment="1">
      <alignment horizontal="center" vertical="center"/>
    </xf>
    <xf numFmtId="0" fontId="16" fillId="19" borderId="4" xfId="0" applyFont="1" applyFill="1" applyBorder="1" applyAlignment="1">
      <alignment horizontal="left"/>
    </xf>
    <xf numFmtId="4" fontId="16" fillId="19" borderId="4" xfId="0" applyNumberFormat="1" applyFont="1" applyFill="1" applyBorder="1" applyAlignment="1">
      <alignment horizontal="center" vertical="center"/>
    </xf>
    <xf numFmtId="4" fontId="16" fillId="20" borderId="4" xfId="0" applyNumberFormat="1" applyFont="1" applyFill="1" applyBorder="1" applyAlignment="1">
      <alignment horizontal="center" vertical="center"/>
    </xf>
    <xf numFmtId="4" fontId="16" fillId="0" borderId="4" xfId="0" applyNumberFormat="1" applyFont="1" applyBorder="1" applyAlignment="1">
      <alignment horizontal="center" vertical="center"/>
    </xf>
    <xf numFmtId="4" fontId="0" fillId="0" borderId="0" xfId="0" applyNumberFormat="1"/>
    <xf numFmtId="0" fontId="46" fillId="0" borderId="4" xfId="0" applyFont="1" applyBorder="1" applyAlignment="1">
      <alignment horizontal="center" wrapText="1"/>
    </xf>
    <xf numFmtId="3" fontId="7" fillId="0" borderId="4" xfId="0" applyNumberFormat="1" applyFont="1" applyBorder="1" applyAlignment="1">
      <alignment horizontal="center" vertical="center" wrapText="1"/>
    </xf>
    <xf numFmtId="0" fontId="24" fillId="0" borderId="38" xfId="0" applyFont="1" applyBorder="1" applyAlignment="1">
      <alignment vertical="center" wrapText="1"/>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2" fontId="4" fillId="0" borderId="0" xfId="0" applyNumberFormat="1" applyFont="1" applyAlignment="1">
      <alignment vertical="center"/>
    </xf>
    <xf numFmtId="0" fontId="4" fillId="0" borderId="6" xfId="0" applyFont="1" applyBorder="1" applyAlignment="1">
      <alignment vertical="center" wrapText="1"/>
    </xf>
    <xf numFmtId="1" fontId="4" fillId="0" borderId="6" xfId="0" applyNumberFormat="1" applyFont="1" applyBorder="1" applyAlignment="1">
      <alignment horizontal="center" vertical="center" wrapText="1"/>
    </xf>
    <xf numFmtId="1" fontId="4" fillId="0" borderId="6" xfId="0" applyNumberFormat="1" applyFont="1" applyBorder="1" applyAlignment="1">
      <alignment horizontal="center" vertical="center"/>
    </xf>
    <xf numFmtId="0" fontId="4" fillId="0" borderId="40" xfId="0" applyFont="1" applyBorder="1" applyAlignment="1">
      <alignment vertical="center" wrapText="1"/>
    </xf>
    <xf numFmtId="1" fontId="4" fillId="0" borderId="40" xfId="0" applyNumberFormat="1" applyFont="1" applyBorder="1" applyAlignment="1">
      <alignment horizontal="center" vertical="center" wrapText="1"/>
    </xf>
    <xf numFmtId="1" fontId="4" fillId="0" borderId="40" xfId="0" applyNumberFormat="1" applyFont="1" applyBorder="1" applyAlignment="1">
      <alignment horizontal="center" vertical="center"/>
    </xf>
    <xf numFmtId="0" fontId="4" fillId="0" borderId="46" xfId="0" applyFont="1" applyBorder="1" applyAlignment="1">
      <alignment vertical="center" wrapText="1"/>
    </xf>
    <xf numFmtId="1" fontId="4" fillId="0" borderId="46" xfId="0" applyNumberFormat="1" applyFont="1" applyBorder="1" applyAlignment="1">
      <alignment horizontal="center" vertical="center" wrapText="1"/>
    </xf>
    <xf numFmtId="1" fontId="4" fillId="0" borderId="46" xfId="0" applyNumberFormat="1" applyFont="1" applyBorder="1" applyAlignment="1">
      <alignment horizontal="center" vertical="center"/>
    </xf>
    <xf numFmtId="0" fontId="24" fillId="0" borderId="49" xfId="0" applyFont="1" applyBorder="1" applyAlignment="1">
      <alignment vertical="center" wrapText="1"/>
    </xf>
    <xf numFmtId="0" fontId="4" fillId="0" borderId="0" xfId="0" applyFont="1" applyAlignment="1">
      <alignment horizontal="center" vertical="center" wrapText="1"/>
    </xf>
    <xf numFmtId="166" fontId="4" fillId="0" borderId="4" xfId="0" applyNumberFormat="1" applyFont="1" applyBorder="1" applyAlignment="1">
      <alignment horizontal="center" vertical="center" wrapText="1"/>
    </xf>
    <xf numFmtId="166" fontId="7" fillId="0" borderId="4" xfId="0" applyNumberFormat="1" applyFont="1" applyBorder="1" applyAlignment="1">
      <alignment horizontal="center" vertical="center" wrapText="1"/>
    </xf>
    <xf numFmtId="0" fontId="4" fillId="0" borderId="0" xfId="0" applyFont="1" applyAlignment="1">
      <alignment horizontal="center"/>
    </xf>
    <xf numFmtId="166" fontId="4" fillId="0" borderId="20" xfId="0" applyNumberFormat="1" applyFont="1" applyBorder="1" applyAlignment="1">
      <alignment horizontal="center" vertical="center" wrapText="1"/>
    </xf>
    <xf numFmtId="166" fontId="24" fillId="0" borderId="4" xfId="0" applyNumberFormat="1" applyFont="1" applyBorder="1" applyAlignment="1">
      <alignment horizontal="center" vertical="center" wrapText="1"/>
    </xf>
    <xf numFmtId="166" fontId="0" fillId="0" borderId="4" xfId="0" applyNumberFormat="1" applyBorder="1" applyAlignment="1">
      <alignment horizontal="center" vertical="center"/>
    </xf>
    <xf numFmtId="166" fontId="0" fillId="0" borderId="4" xfId="0" applyNumberFormat="1" applyBorder="1"/>
    <xf numFmtId="166" fontId="46" fillId="0" borderId="4" xfId="0" applyNumberFormat="1" applyFont="1" applyBorder="1" applyAlignment="1">
      <alignment horizontal="center" vertical="center"/>
    </xf>
    <xf numFmtId="166" fontId="46" fillId="0" borderId="4" xfId="0" applyNumberFormat="1" applyFont="1" applyBorder="1"/>
    <xf numFmtId="168" fontId="3" fillId="0" borderId="4" xfId="1" applyNumberFormat="1" applyFont="1" applyBorder="1" applyAlignment="1">
      <alignment vertical="center" wrapText="1"/>
    </xf>
    <xf numFmtId="166" fontId="23" fillId="0" borderId="4" xfId="0" applyNumberFormat="1" applyFont="1" applyBorder="1"/>
    <xf numFmtId="168" fontId="3" fillId="0" borderId="1" xfId="1" applyNumberFormat="1" applyFont="1" applyBorder="1"/>
    <xf numFmtId="166" fontId="23" fillId="0" borderId="4" xfId="0" applyNumberFormat="1" applyFont="1" applyBorder="1" applyAlignment="1">
      <alignment horizontal="center" vertical="center"/>
    </xf>
    <xf numFmtId="166" fontId="23" fillId="0" borderId="4" xfId="0" applyNumberFormat="1" applyFont="1" applyBorder="1" applyAlignment="1">
      <alignment vertical="center"/>
    </xf>
    <xf numFmtId="0" fontId="23" fillId="0" borderId="0" xfId="0" applyFont="1" applyAlignment="1">
      <alignment vertical="center"/>
    </xf>
    <xf numFmtId="166" fontId="0" fillId="0" borderId="4" xfId="0" applyNumberFormat="1" applyBorder="1" applyAlignment="1">
      <alignment vertical="center"/>
    </xf>
    <xf numFmtId="0" fontId="46" fillId="0" borderId="0" xfId="0" applyFont="1"/>
    <xf numFmtId="4" fontId="0" fillId="0" borderId="4" xfId="0" applyNumberFormat="1" applyBorder="1"/>
    <xf numFmtId="0" fontId="3" fillId="17" borderId="0" xfId="0" applyFont="1" applyFill="1" applyAlignment="1">
      <alignment horizontal="center" vertical="center"/>
    </xf>
    <xf numFmtId="166" fontId="3" fillId="0" borderId="4" xfId="0" applyNumberFormat="1" applyFont="1" applyBorder="1" applyAlignment="1">
      <alignment vertical="center" wrapText="1"/>
    </xf>
    <xf numFmtId="166" fontId="3" fillId="0" borderId="4" xfId="0" applyNumberFormat="1" applyFont="1" applyBorder="1" applyAlignment="1">
      <alignment horizontal="center" vertical="center" wrapText="1"/>
    </xf>
    <xf numFmtId="0" fontId="16" fillId="0" borderId="4" xfId="0" applyFont="1" applyBorder="1" applyAlignment="1">
      <alignment vertical="center"/>
    </xf>
    <xf numFmtId="166" fontId="4" fillId="0" borderId="40" xfId="0" applyNumberFormat="1" applyFont="1" applyBorder="1" applyAlignment="1">
      <alignment horizontal="center" vertical="center"/>
    </xf>
    <xf numFmtId="166" fontId="4" fillId="0" borderId="4" xfId="0" applyNumberFormat="1" applyFont="1" applyBorder="1" applyAlignment="1">
      <alignment horizontal="center" vertical="center"/>
    </xf>
    <xf numFmtId="166" fontId="4" fillId="0" borderId="46"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4" xfId="1" applyNumberFormat="1" applyFont="1" applyBorder="1" applyAlignment="1">
      <alignment horizontal="center" vertical="center" wrapText="1"/>
    </xf>
    <xf numFmtId="166" fontId="4" fillId="0" borderId="1" xfId="1" applyNumberFormat="1" applyFont="1" applyBorder="1" applyAlignment="1">
      <alignment horizontal="center" vertical="center" wrapText="1"/>
    </xf>
    <xf numFmtId="166" fontId="0" fillId="0" borderId="0" xfId="0" applyNumberFormat="1"/>
    <xf numFmtId="0" fontId="24" fillId="0" borderId="51" xfId="0" applyFont="1" applyBorder="1" applyAlignment="1">
      <alignment vertical="center" wrapText="1"/>
    </xf>
    <xf numFmtId="0" fontId="24" fillId="0" borderId="52" xfId="0" applyFont="1" applyBorder="1" applyAlignment="1">
      <alignment vertical="center" wrapText="1"/>
    </xf>
    <xf numFmtId="0" fontId="24" fillId="0" borderId="53" xfId="0" applyFont="1" applyBorder="1" applyAlignment="1">
      <alignment vertical="center" wrapText="1"/>
    </xf>
    <xf numFmtId="0" fontId="4" fillId="0" borderId="47" xfId="0" applyFont="1" applyBorder="1" applyAlignment="1">
      <alignment vertical="center" wrapText="1"/>
    </xf>
    <xf numFmtId="1" fontId="4" fillId="0" borderId="47" xfId="0" applyNumberFormat="1" applyFont="1" applyBorder="1" applyAlignment="1">
      <alignment horizontal="center" vertical="center" wrapText="1"/>
    </xf>
    <xf numFmtId="1" fontId="4" fillId="0" borderId="47" xfId="0" applyNumberFormat="1" applyFont="1" applyBorder="1" applyAlignment="1">
      <alignment horizontal="center" vertical="center"/>
    </xf>
    <xf numFmtId="166" fontId="4" fillId="0" borderId="47" xfId="0" applyNumberFormat="1" applyFont="1" applyBorder="1" applyAlignment="1">
      <alignment horizontal="center" vertical="center"/>
    </xf>
    <xf numFmtId="1" fontId="0" fillId="0" borderId="0" xfId="0" applyNumberFormat="1"/>
    <xf numFmtId="166" fontId="4" fillId="0" borderId="4" xfId="0" applyNumberFormat="1" applyFont="1" applyBorder="1" applyAlignment="1">
      <alignment horizontal="center"/>
    </xf>
    <xf numFmtId="0" fontId="23" fillId="0" borderId="10" xfId="0" applyFont="1" applyBorder="1" applyAlignment="1">
      <alignment horizontal="center"/>
    </xf>
    <xf numFmtId="0" fontId="0" fillId="0" borderId="10" xfId="0" applyBorder="1"/>
    <xf numFmtId="0" fontId="23" fillId="0" borderId="8" xfId="0" applyFont="1" applyBorder="1"/>
    <xf numFmtId="166" fontId="2" fillId="21" borderId="4" xfId="0" applyNumberFormat="1" applyFont="1" applyFill="1" applyBorder="1" applyAlignment="1">
      <alignment horizontal="center" vertical="center"/>
    </xf>
    <xf numFmtId="0" fontId="4" fillId="0" borderId="6"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6" xfId="0" applyFont="1" applyBorder="1" applyAlignment="1">
      <alignment horizontal="center" vertical="center" wrapText="1"/>
    </xf>
    <xf numFmtId="166" fontId="0" fillId="0" borderId="0" xfId="0" applyNumberFormat="1" applyAlignment="1">
      <alignment horizontal="center" vertical="center"/>
    </xf>
    <xf numFmtId="0" fontId="3" fillId="22" borderId="4" xfId="0" applyFont="1" applyFill="1" applyBorder="1" applyAlignment="1">
      <alignment horizontal="center" vertical="center" wrapText="1"/>
    </xf>
    <xf numFmtId="0" fontId="48" fillId="22" borderId="4" xfId="0" applyFont="1" applyFill="1" applyBorder="1" applyAlignment="1">
      <alignment horizontal="center" vertical="center" wrapText="1"/>
    </xf>
    <xf numFmtId="0" fontId="4" fillId="0" borderId="6" xfId="0" applyFont="1" applyBorder="1" applyAlignment="1">
      <alignment horizontal="left" vertical="center"/>
    </xf>
    <xf numFmtId="0" fontId="23" fillId="0" borderId="6" xfId="0" applyFont="1" applyBorder="1"/>
    <xf numFmtId="0" fontId="3" fillId="22" borderId="46" xfId="0" applyFont="1" applyFill="1" applyBorder="1" applyAlignment="1">
      <alignment horizontal="center" vertical="center" wrapText="1"/>
    </xf>
    <xf numFmtId="0" fontId="3" fillId="22" borderId="33"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166" fontId="4" fillId="0" borderId="41" xfId="0" applyNumberFormat="1" applyFont="1" applyBorder="1" applyAlignment="1">
      <alignment horizontal="center" vertical="center"/>
    </xf>
    <xf numFmtId="166" fontId="4" fillId="0" borderId="20" xfId="0" applyNumberFormat="1" applyFont="1" applyBorder="1" applyAlignment="1">
      <alignment horizontal="center" vertical="center"/>
    </xf>
    <xf numFmtId="166" fontId="4" fillId="0" borderId="46" xfId="0" applyNumberFormat="1" applyFont="1" applyBorder="1" applyAlignment="1">
      <alignment horizontal="center"/>
    </xf>
    <xf numFmtId="166" fontId="4" fillId="0" borderId="40" xfId="0" applyNumberFormat="1" applyFont="1" applyBorder="1" applyAlignment="1">
      <alignment horizontal="center" vertical="center" wrapText="1"/>
    </xf>
    <xf numFmtId="166" fontId="4" fillId="0" borderId="47" xfId="0" applyNumberFormat="1" applyFont="1" applyBorder="1" applyAlignment="1">
      <alignment horizontal="center" vertical="center" wrapText="1"/>
    </xf>
    <xf numFmtId="166" fontId="4" fillId="0" borderId="5" xfId="0" applyNumberFormat="1" applyFont="1" applyBorder="1" applyAlignment="1">
      <alignment horizontal="center" vertical="center"/>
    </xf>
    <xf numFmtId="166" fontId="4" fillId="0" borderId="40" xfId="0" applyNumberFormat="1" applyFont="1" applyBorder="1"/>
    <xf numFmtId="166" fontId="4" fillId="0" borderId="4" xfId="0" applyNumberFormat="1" applyFont="1" applyBorder="1"/>
    <xf numFmtId="166" fontId="4" fillId="0" borderId="1" xfId="0" applyNumberFormat="1" applyFont="1" applyBorder="1" applyAlignment="1">
      <alignment horizontal="center" vertical="center"/>
    </xf>
    <xf numFmtId="0" fontId="24" fillId="0" borderId="58" xfId="0" applyFont="1" applyBorder="1" applyAlignment="1">
      <alignment vertical="center" wrapText="1"/>
    </xf>
    <xf numFmtId="0" fontId="4" fillId="5" borderId="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15" fillId="5" borderId="1" xfId="3" applyFont="1" applyFill="1" applyBorder="1" applyAlignment="1">
      <alignment horizontal="left" vertical="center" wrapText="1"/>
    </xf>
    <xf numFmtId="0" fontId="15" fillId="5" borderId="2" xfId="3" applyFont="1" applyFill="1" applyBorder="1" applyAlignment="1">
      <alignment horizontal="left" vertical="center" wrapText="1"/>
    </xf>
    <xf numFmtId="0" fontId="15" fillId="5" borderId="3" xfId="3" applyFont="1" applyFill="1" applyBorder="1" applyAlignment="1">
      <alignment horizontal="left" vertical="center" wrapText="1"/>
    </xf>
    <xf numFmtId="0" fontId="10" fillId="5" borderId="2" xfId="3" applyFill="1" applyBorder="1" applyAlignment="1">
      <alignment horizontal="center" vertical="center" wrapText="1"/>
    </xf>
    <xf numFmtId="0" fontId="10" fillId="5" borderId="3" xfId="3" applyFill="1" applyBorder="1" applyAlignment="1">
      <alignment horizontal="center" vertical="center" wrapText="1"/>
    </xf>
    <xf numFmtId="0" fontId="11" fillId="6" borderId="2" xfId="3" applyFont="1" applyFill="1" applyBorder="1" applyAlignment="1">
      <alignment horizontal="center" vertical="center" wrapText="1"/>
    </xf>
    <xf numFmtId="0" fontId="3" fillId="5" borderId="1" xfId="3" applyFont="1" applyFill="1" applyBorder="1" applyAlignment="1">
      <alignment horizontal="center" vertical="center" wrapText="1"/>
    </xf>
    <xf numFmtId="0" fontId="3" fillId="5" borderId="2" xfId="3" applyFont="1" applyFill="1" applyBorder="1" applyAlignment="1">
      <alignment horizontal="center" vertical="center" wrapText="1"/>
    </xf>
    <xf numFmtId="0" fontId="3" fillId="5" borderId="3" xfId="3" applyFont="1" applyFill="1" applyBorder="1" applyAlignment="1">
      <alignment horizontal="center" vertical="center" wrapText="1"/>
    </xf>
    <xf numFmtId="0" fontId="4" fillId="5" borderId="4" xfId="3" applyFont="1" applyFill="1" applyBorder="1" applyAlignment="1">
      <alignment horizontal="left" vertical="center" wrapText="1"/>
    </xf>
    <xf numFmtId="10" fontId="3" fillId="5" borderId="1" xfId="3" applyNumberFormat="1" applyFont="1" applyFill="1" applyBorder="1" applyAlignment="1">
      <alignment horizontal="center" vertical="center" wrapText="1"/>
    </xf>
    <xf numFmtId="10" fontId="3" fillId="5" borderId="3" xfId="3" applyNumberFormat="1" applyFont="1" applyFill="1" applyBorder="1" applyAlignment="1">
      <alignment horizontal="center" vertical="center" wrapText="1"/>
    </xf>
    <xf numFmtId="0" fontId="3" fillId="6" borderId="1" xfId="3" applyFont="1" applyFill="1" applyBorder="1" applyAlignment="1">
      <alignment horizontal="center" vertical="center" wrapText="1"/>
    </xf>
    <xf numFmtId="0" fontId="3" fillId="6" borderId="2" xfId="3" applyFont="1" applyFill="1" applyBorder="1" applyAlignment="1">
      <alignment horizontal="center" vertical="center" wrapText="1"/>
    </xf>
    <xf numFmtId="0" fontId="3" fillId="6" borderId="3" xfId="3" applyFont="1" applyFill="1" applyBorder="1" applyAlignment="1">
      <alignment horizontal="center" vertical="center" wrapText="1"/>
    </xf>
    <xf numFmtId="10" fontId="3" fillId="6" borderId="1" xfId="3" applyNumberFormat="1" applyFont="1" applyFill="1" applyBorder="1" applyAlignment="1">
      <alignment horizontal="center" vertical="center" wrapText="1"/>
    </xf>
    <xf numFmtId="0" fontId="11" fillId="6" borderId="1" xfId="3" applyFont="1" applyFill="1" applyBorder="1" applyAlignment="1">
      <alignment horizontal="center" vertical="center" wrapText="1"/>
    </xf>
    <xf numFmtId="0" fontId="3" fillId="5" borderId="4" xfId="3" applyFont="1" applyFill="1" applyBorder="1" applyAlignment="1">
      <alignment horizontal="center" vertical="center" wrapText="1"/>
    </xf>
    <xf numFmtId="10" fontId="11" fillId="5" borderId="4" xfId="3" applyNumberFormat="1" applyFont="1" applyFill="1" applyBorder="1" applyAlignment="1">
      <alignment horizontal="center" vertical="center" wrapText="1"/>
    </xf>
    <xf numFmtId="0" fontId="4" fillId="5" borderId="1" xfId="3" applyFont="1" applyFill="1" applyBorder="1" applyAlignment="1">
      <alignment horizontal="left" vertical="center" wrapText="1"/>
    </xf>
    <xf numFmtId="0" fontId="4" fillId="5" borderId="2" xfId="3" applyFont="1" applyFill="1" applyBorder="1" applyAlignment="1">
      <alignment horizontal="left" vertical="center" wrapText="1"/>
    </xf>
    <xf numFmtId="0" fontId="4" fillId="5" borderId="3" xfId="3" applyFont="1" applyFill="1" applyBorder="1" applyAlignment="1">
      <alignment horizontal="left" vertical="center" wrapText="1"/>
    </xf>
    <xf numFmtId="0" fontId="3" fillId="5" borderId="1" xfId="3" applyFont="1" applyFill="1" applyBorder="1" applyAlignment="1">
      <alignment horizontal="left" vertical="center" wrapText="1"/>
    </xf>
    <xf numFmtId="0" fontId="3" fillId="5" borderId="2" xfId="3" applyFont="1" applyFill="1" applyBorder="1" applyAlignment="1">
      <alignment horizontal="left" vertical="center" wrapText="1"/>
    </xf>
    <xf numFmtId="0" fontId="3" fillId="5" borderId="3" xfId="3" applyFont="1" applyFill="1" applyBorder="1" applyAlignment="1">
      <alignment horizontal="left" vertical="center" wrapText="1"/>
    </xf>
    <xf numFmtId="0" fontId="4" fillId="5" borderId="1" xfId="3"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3" xfId="3" applyFont="1" applyFill="1" applyBorder="1" applyAlignment="1">
      <alignment horizontal="center" vertical="center" wrapText="1"/>
    </xf>
    <xf numFmtId="0" fontId="3" fillId="0" borderId="1" xfId="3" applyFont="1" applyBorder="1" applyAlignment="1">
      <alignment horizontal="left" vertical="center" wrapText="1"/>
    </xf>
    <xf numFmtId="0" fontId="3" fillId="0" borderId="2" xfId="3" applyFont="1" applyBorder="1" applyAlignment="1">
      <alignment horizontal="left" vertical="center" wrapText="1"/>
    </xf>
    <xf numFmtId="0" fontId="3" fillId="0" borderId="3" xfId="3" applyFont="1" applyBorder="1" applyAlignment="1">
      <alignment horizontal="left" vertical="center" wrapText="1"/>
    </xf>
    <xf numFmtId="0" fontId="16" fillId="6" borderId="1" xfId="3" applyFont="1" applyFill="1" applyBorder="1" applyAlignment="1">
      <alignment horizontal="center" vertical="center" wrapText="1"/>
    </xf>
    <xf numFmtId="0" fontId="16" fillId="6" borderId="2" xfId="3" applyFont="1" applyFill="1" applyBorder="1" applyAlignment="1">
      <alignment horizontal="center" vertical="center" wrapText="1"/>
    </xf>
    <xf numFmtId="0" fontId="16" fillId="6" borderId="3" xfId="3" applyFont="1" applyFill="1" applyBorder="1" applyAlignment="1">
      <alignment horizontal="center" vertical="center" wrapText="1"/>
    </xf>
    <xf numFmtId="0" fontId="11" fillId="6" borderId="3" xfId="3" applyFont="1" applyFill="1" applyBorder="1" applyAlignment="1">
      <alignment horizontal="center" vertical="center" wrapText="1"/>
    </xf>
    <xf numFmtId="0" fontId="13" fillId="5" borderId="1" xfId="3" applyFont="1" applyFill="1" applyBorder="1" applyAlignment="1">
      <alignment horizontal="left" vertical="center" wrapText="1"/>
    </xf>
    <xf numFmtId="0" fontId="4" fillId="7" borderId="1" xfId="3" applyFont="1" applyFill="1" applyBorder="1" applyAlignment="1">
      <alignment horizontal="left" vertical="center" wrapText="1"/>
    </xf>
    <xf numFmtId="0" fontId="4" fillId="7" borderId="2" xfId="3" applyFont="1" applyFill="1" applyBorder="1" applyAlignment="1">
      <alignment horizontal="left" vertical="center" wrapText="1"/>
    </xf>
    <xf numFmtId="0" fontId="4" fillId="7" borderId="3" xfId="3" applyFont="1" applyFill="1" applyBorder="1" applyAlignment="1">
      <alignment horizontal="left" vertical="center" wrapText="1"/>
    </xf>
    <xf numFmtId="0" fontId="3" fillId="6" borderId="1" xfId="3" applyFont="1" applyFill="1" applyBorder="1" applyAlignment="1">
      <alignment horizontal="center" wrapText="1"/>
    </xf>
    <xf numFmtId="0" fontId="3" fillId="6" borderId="2" xfId="3" applyFont="1" applyFill="1" applyBorder="1" applyAlignment="1">
      <alignment horizontal="center" wrapText="1"/>
    </xf>
    <xf numFmtId="0" fontId="3" fillId="6" borderId="3" xfId="3" applyFont="1" applyFill="1" applyBorder="1" applyAlignment="1">
      <alignment horizontal="center" wrapText="1"/>
    </xf>
    <xf numFmtId="0" fontId="16" fillId="5" borderId="1" xfId="3" applyFont="1" applyFill="1" applyBorder="1" applyAlignment="1">
      <alignment horizontal="center" wrapText="1"/>
    </xf>
    <xf numFmtId="0" fontId="16" fillId="5" borderId="2" xfId="3" applyFont="1" applyFill="1" applyBorder="1" applyAlignment="1">
      <alignment horizontal="center" wrapText="1"/>
    </xf>
    <xf numFmtId="0" fontId="16" fillId="5" borderId="3" xfId="3" applyFont="1" applyFill="1" applyBorder="1" applyAlignment="1">
      <alignment horizontal="center" wrapText="1"/>
    </xf>
    <xf numFmtId="0" fontId="11" fillId="6" borderId="4" xfId="3" applyFont="1" applyFill="1" applyBorder="1" applyAlignment="1">
      <alignment horizontal="center" vertical="center" wrapText="1"/>
    </xf>
    <xf numFmtId="0" fontId="5" fillId="5" borderId="4" xfId="3" applyFont="1" applyFill="1" applyBorder="1" applyAlignment="1">
      <alignment horizontal="left" vertical="center" wrapText="1"/>
    </xf>
    <xf numFmtId="0" fontId="7" fillId="5" borderId="4" xfId="3" applyFont="1" applyFill="1" applyBorder="1" applyAlignment="1">
      <alignment horizontal="left" vertical="center" wrapText="1"/>
    </xf>
    <xf numFmtId="0" fontId="20" fillId="5" borderId="1" xfId="3" applyFont="1" applyFill="1" applyBorder="1" applyAlignment="1">
      <alignment horizontal="left" vertical="center" wrapText="1"/>
    </xf>
    <xf numFmtId="0" fontId="20" fillId="5" borderId="2" xfId="3" applyFont="1" applyFill="1" applyBorder="1" applyAlignment="1">
      <alignment horizontal="left" vertical="center" wrapText="1"/>
    </xf>
    <xf numFmtId="0" fontId="20" fillId="5" borderId="3" xfId="3" applyFont="1" applyFill="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5" fillId="0" borderId="1" xfId="3" applyFont="1" applyBorder="1" applyAlignment="1">
      <alignment horizontal="left" vertical="center" wrapText="1"/>
    </xf>
    <xf numFmtId="0" fontId="15" fillId="0" borderId="2" xfId="3" applyFont="1" applyBorder="1" applyAlignment="1">
      <alignment horizontal="left" vertical="center" wrapText="1"/>
    </xf>
    <xf numFmtId="0" fontId="15" fillId="0" borderId="3" xfId="3" applyFont="1" applyBorder="1" applyAlignment="1">
      <alignment horizontal="left" vertical="center" wrapText="1"/>
    </xf>
    <xf numFmtId="0" fontId="17" fillId="6" borderId="4" xfId="3" applyFont="1" applyFill="1" applyBorder="1" applyAlignment="1">
      <alignment horizontal="center" vertical="center" wrapText="1"/>
    </xf>
    <xf numFmtId="0" fontId="4" fillId="0" borderId="1" xfId="3" applyFont="1" applyBorder="1" applyAlignment="1">
      <alignment horizontal="left" vertical="center" wrapText="1"/>
    </xf>
    <xf numFmtId="0" fontId="4" fillId="0" borderId="2" xfId="3" applyFont="1" applyBorder="1" applyAlignment="1">
      <alignment horizontal="left" vertical="center" wrapText="1"/>
    </xf>
    <xf numFmtId="0" fontId="4" fillId="0" borderId="3" xfId="3" applyFont="1" applyBorder="1" applyAlignment="1">
      <alignment horizontal="left" vertical="center" wrapText="1"/>
    </xf>
    <xf numFmtId="166" fontId="3" fillId="6" borderId="1" xfId="3" applyNumberFormat="1" applyFont="1" applyFill="1" applyBorder="1" applyAlignment="1">
      <alignment horizontal="center" vertical="center" wrapText="1"/>
    </xf>
    <xf numFmtId="166" fontId="3" fillId="6" borderId="3" xfId="3" applyNumberFormat="1" applyFont="1" applyFill="1" applyBorder="1" applyAlignment="1">
      <alignment horizontal="center" vertical="center" wrapText="1"/>
    </xf>
    <xf numFmtId="14" fontId="4" fillId="5" borderId="1" xfId="3" applyNumberFormat="1" applyFont="1" applyFill="1" applyBorder="1" applyAlignment="1">
      <alignment horizontal="center" vertical="center" wrapText="1"/>
    </xf>
    <xf numFmtId="0" fontId="3" fillId="0" borderId="4" xfId="3" applyFont="1" applyBorder="1" applyAlignment="1">
      <alignment horizontal="center" vertical="center" wrapText="1"/>
    </xf>
    <xf numFmtId="0" fontId="11" fillId="7" borderId="16" xfId="3" applyFont="1" applyFill="1" applyBorder="1" applyAlignment="1">
      <alignment horizontal="center" vertical="center" wrapText="1"/>
    </xf>
    <xf numFmtId="0" fontId="11" fillId="7" borderId="11" xfId="3" applyFont="1" applyFill="1" applyBorder="1" applyAlignment="1">
      <alignment horizontal="center" vertical="center" wrapText="1"/>
    </xf>
    <xf numFmtId="0" fontId="11" fillId="7" borderId="17" xfId="3" applyFont="1" applyFill="1" applyBorder="1" applyAlignment="1">
      <alignment horizontal="center" vertical="center" wrapText="1"/>
    </xf>
    <xf numFmtId="0" fontId="1" fillId="5" borderId="4" xfId="3" applyFont="1" applyFill="1" applyBorder="1" applyAlignment="1">
      <alignment horizontal="center" vertical="center" wrapText="1"/>
    </xf>
    <xf numFmtId="0" fontId="16" fillId="6" borderId="4" xfId="3" applyFont="1" applyFill="1" applyBorder="1" applyAlignment="1">
      <alignment horizontal="center" vertical="center" wrapText="1"/>
    </xf>
    <xf numFmtId="0" fontId="4" fillId="5" borderId="1" xfId="3" applyFont="1" applyFill="1" applyBorder="1" applyAlignment="1">
      <alignment vertical="center" wrapText="1"/>
    </xf>
    <xf numFmtId="0" fontId="4" fillId="5" borderId="2" xfId="3" applyFont="1" applyFill="1" applyBorder="1" applyAlignment="1">
      <alignment vertical="center" wrapText="1"/>
    </xf>
    <xf numFmtId="0" fontId="4" fillId="5" borderId="3" xfId="3" applyFont="1" applyFill="1" applyBorder="1" applyAlignment="1">
      <alignment vertical="center" wrapText="1"/>
    </xf>
    <xf numFmtId="0" fontId="1" fillId="5" borderId="1" xfId="3" applyFont="1" applyFill="1" applyBorder="1" applyAlignment="1">
      <alignment horizontal="center" vertical="center" wrapText="1"/>
    </xf>
    <xf numFmtId="0" fontId="1" fillId="5" borderId="3" xfId="3" applyFont="1" applyFill="1" applyBorder="1" applyAlignment="1">
      <alignment horizontal="center" vertical="center" wrapText="1"/>
    </xf>
    <xf numFmtId="0" fontId="11" fillId="5" borderId="4" xfId="3" applyFont="1" applyFill="1" applyBorder="1" applyAlignment="1">
      <alignment horizontal="center" vertical="center" wrapText="1"/>
    </xf>
    <xf numFmtId="0" fontId="11" fillId="5" borderId="1" xfId="3" applyFont="1" applyFill="1" applyBorder="1" applyAlignment="1">
      <alignment horizontal="center" vertical="center" wrapText="1"/>
    </xf>
    <xf numFmtId="0" fontId="11" fillId="5" borderId="3" xfId="3" applyFont="1" applyFill="1" applyBorder="1" applyAlignment="1">
      <alignment horizontal="center" vertical="center" wrapText="1"/>
    </xf>
    <xf numFmtId="14" fontId="1" fillId="5" borderId="1" xfId="3" applyNumberFormat="1" applyFont="1" applyFill="1" applyBorder="1" applyAlignment="1">
      <alignment horizontal="center" vertical="center" wrapText="1"/>
    </xf>
    <xf numFmtId="14" fontId="1" fillId="5" borderId="3" xfId="3" applyNumberFormat="1" applyFont="1" applyFill="1" applyBorder="1" applyAlignment="1">
      <alignment horizontal="center" vertical="center" wrapText="1"/>
    </xf>
    <xf numFmtId="0" fontId="3" fillId="0" borderId="1" xfId="3" applyFont="1" applyBorder="1" applyAlignment="1">
      <alignment vertical="center" wrapText="1"/>
    </xf>
    <xf numFmtId="0" fontId="3" fillId="0" borderId="2" xfId="3" applyFont="1" applyBorder="1" applyAlignment="1">
      <alignment vertical="center" wrapText="1"/>
    </xf>
    <xf numFmtId="0" fontId="3" fillId="0" borderId="3" xfId="3" applyFont="1" applyBorder="1" applyAlignment="1">
      <alignment vertical="center" wrapText="1"/>
    </xf>
    <xf numFmtId="0" fontId="13" fillId="6" borderId="1" xfId="3" applyFont="1" applyFill="1" applyBorder="1" applyAlignment="1">
      <alignment horizontal="center" vertical="center" wrapText="1"/>
    </xf>
    <xf numFmtId="0" fontId="13" fillId="6" borderId="3" xfId="3" applyFont="1" applyFill="1" applyBorder="1" applyAlignment="1">
      <alignment horizontal="center" vertical="center" wrapText="1"/>
    </xf>
    <xf numFmtId="0" fontId="11" fillId="5" borderId="1" xfId="3" applyFont="1" applyFill="1" applyBorder="1" applyAlignment="1">
      <alignment horizontal="left" vertical="center" wrapText="1"/>
    </xf>
    <xf numFmtId="0" fontId="11" fillId="5" borderId="2" xfId="3" applyFont="1" applyFill="1" applyBorder="1" applyAlignment="1">
      <alignment horizontal="left" vertical="center" wrapText="1"/>
    </xf>
    <xf numFmtId="0" fontId="11" fillId="5" borderId="3" xfId="3" applyFont="1" applyFill="1" applyBorder="1" applyAlignment="1">
      <alignment horizontal="left" vertical="center" wrapText="1"/>
    </xf>
    <xf numFmtId="0" fontId="11" fillId="5" borderId="4" xfId="3" applyFont="1" applyFill="1" applyBorder="1" applyAlignment="1">
      <alignment horizontal="left" vertical="center" wrapText="1"/>
    </xf>
    <xf numFmtId="0" fontId="10" fillId="5" borderId="4" xfId="3" applyFill="1" applyBorder="1" applyAlignment="1">
      <alignment horizontal="center" wrapText="1"/>
    </xf>
    <xf numFmtId="0" fontId="4" fillId="0" borderId="0" xfId="3" applyFont="1" applyAlignment="1">
      <alignment horizontal="left" vertical="center" wrapText="1"/>
    </xf>
    <xf numFmtId="0" fontId="3" fillId="0" borderId="4" xfId="3" applyFont="1" applyBorder="1" applyAlignment="1">
      <alignment horizontal="left" vertical="center" wrapText="1"/>
    </xf>
    <xf numFmtId="0" fontId="2" fillId="6" borderId="1" xfId="3" applyFont="1" applyFill="1" applyBorder="1" applyAlignment="1">
      <alignment horizontal="center" vertical="center" wrapText="1"/>
    </xf>
    <xf numFmtId="0" fontId="2" fillId="6" borderId="2" xfId="3" applyFont="1" applyFill="1" applyBorder="1" applyAlignment="1">
      <alignment horizontal="center" vertical="center" wrapText="1"/>
    </xf>
    <xf numFmtId="0" fontId="2" fillId="6" borderId="3" xfId="3" applyFont="1" applyFill="1" applyBorder="1" applyAlignment="1">
      <alignment horizontal="center" vertical="center" wrapText="1"/>
    </xf>
    <xf numFmtId="0" fontId="4" fillId="0" borderId="4" xfId="3" applyFont="1" applyBorder="1" applyAlignment="1">
      <alignment horizontal="left" vertical="center" wrapText="1"/>
    </xf>
    <xf numFmtId="0" fontId="3" fillId="5" borderId="4" xfId="3" applyFont="1" applyFill="1" applyBorder="1" applyAlignment="1">
      <alignment horizontal="left" vertical="center" wrapText="1"/>
    </xf>
    <xf numFmtId="0" fontId="17" fillId="5" borderId="1" xfId="3" applyFont="1" applyFill="1" applyBorder="1" applyAlignment="1">
      <alignment horizontal="left" vertical="center" wrapText="1"/>
    </xf>
    <xf numFmtId="0" fontId="17" fillId="5" borderId="2" xfId="3" applyFont="1" applyFill="1" applyBorder="1" applyAlignment="1">
      <alignment horizontal="left" vertical="center" wrapText="1"/>
    </xf>
    <xf numFmtId="0" fontId="17" fillId="5" borderId="3" xfId="3" applyFont="1" applyFill="1" applyBorder="1" applyAlignment="1">
      <alignment horizontal="left"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xf>
    <xf numFmtId="0" fontId="35" fillId="10" borderId="4"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4" fontId="34" fillId="0" borderId="4" xfId="0" applyNumberFormat="1" applyFont="1" applyBorder="1" applyAlignment="1">
      <alignment horizontal="center" vertical="center"/>
    </xf>
    <xf numFmtId="0" fontId="34" fillId="0" borderId="1" xfId="0" applyFont="1" applyBorder="1" applyAlignment="1">
      <alignment horizontal="center"/>
    </xf>
    <xf numFmtId="0" fontId="34" fillId="0" borderId="2" xfId="0" applyFont="1" applyBorder="1" applyAlignment="1">
      <alignment horizontal="center"/>
    </xf>
    <xf numFmtId="0" fontId="34" fillId="0" borderId="3" xfId="0" applyFont="1" applyBorder="1" applyAlignment="1">
      <alignment horizontal="center"/>
    </xf>
    <xf numFmtId="0" fontId="34" fillId="9" borderId="1" xfId="0" applyFont="1" applyFill="1" applyBorder="1" applyAlignment="1">
      <alignment horizontal="center" vertical="center"/>
    </xf>
    <xf numFmtId="0" fontId="34" fillId="9" borderId="2" xfId="0" applyFont="1" applyFill="1" applyBorder="1" applyAlignment="1">
      <alignment horizontal="center" vertical="center"/>
    </xf>
    <xf numFmtId="0" fontId="34" fillId="9" borderId="3" xfId="0" applyFont="1" applyFill="1" applyBorder="1" applyAlignment="1">
      <alignment horizontal="center" vertical="center"/>
    </xf>
    <xf numFmtId="0" fontId="32" fillId="0" borderId="1" xfId="0" applyFont="1" applyBorder="1" applyAlignment="1">
      <alignment horizontal="right"/>
    </xf>
    <xf numFmtId="0" fontId="32" fillId="0" borderId="2" xfId="0" applyFont="1" applyBorder="1" applyAlignment="1">
      <alignment horizontal="right"/>
    </xf>
    <xf numFmtId="0" fontId="0" fillId="0" borderId="2" xfId="0" applyBorder="1" applyAlignment="1">
      <alignment horizontal="right"/>
    </xf>
    <xf numFmtId="0" fontId="0" fillId="0" borderId="3" xfId="0" applyBorder="1" applyAlignment="1">
      <alignment horizontal="right"/>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11" xfId="0" applyBorder="1" applyAlignment="1">
      <alignment horizontal="center"/>
    </xf>
    <xf numFmtId="0" fontId="0" fillId="0" borderId="7" xfId="0" applyBorder="1" applyAlignment="1">
      <alignment horizontal="center"/>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18" xfId="0" applyBorder="1" applyAlignment="1">
      <alignment horizontal="center" vertical="center"/>
    </xf>
    <xf numFmtId="0" fontId="32" fillId="0" borderId="5" xfId="0" applyFont="1" applyBorder="1" applyAlignment="1">
      <alignment horizontal="center" vertical="center"/>
    </xf>
    <xf numFmtId="0" fontId="32" fillId="0" borderId="20" xfId="0" applyFont="1" applyBorder="1" applyAlignment="1">
      <alignment horizontal="center" vertical="center"/>
    </xf>
    <xf numFmtId="0" fontId="32" fillId="0" borderId="6" xfId="0" applyFont="1" applyBorder="1" applyAlignment="1">
      <alignment horizontal="center" vertical="center"/>
    </xf>
    <xf numFmtId="0" fontId="0" fillId="0" borderId="4" xfId="0" applyBorder="1" applyAlignment="1">
      <alignment horizontal="center"/>
    </xf>
    <xf numFmtId="0" fontId="34" fillId="0" borderId="4" xfId="0" applyFont="1" applyBorder="1" applyAlignment="1">
      <alignment horizont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3" fillId="0" borderId="4" xfId="0" applyFont="1" applyBorder="1" applyAlignment="1">
      <alignment horizontal="left" vertical="center" wrapText="1"/>
    </xf>
    <xf numFmtId="0" fontId="32" fillId="0" borderId="1" xfId="0" applyFont="1" applyBorder="1" applyAlignment="1">
      <alignment vertical="center"/>
    </xf>
    <xf numFmtId="0" fontId="0" fillId="0" borderId="3" xfId="0" applyBorder="1" applyAlignment="1">
      <alignment vertical="center"/>
    </xf>
    <xf numFmtId="0" fontId="32" fillId="0" borderId="1" xfId="0" applyFont="1" applyBorder="1" applyAlignment="1">
      <alignment horizontal="left"/>
    </xf>
    <xf numFmtId="0" fontId="32" fillId="0" borderId="2" xfId="0" applyFont="1" applyBorder="1" applyAlignment="1">
      <alignment horizontal="left"/>
    </xf>
    <xf numFmtId="0" fontId="32" fillId="0" borderId="3" xfId="0" applyFont="1" applyBorder="1" applyAlignment="1">
      <alignment horizontal="left"/>
    </xf>
    <xf numFmtId="0" fontId="35" fillId="10" borderId="4" xfId="0" applyFont="1" applyFill="1" applyBorder="1" applyAlignment="1">
      <alignment horizontal="center" vertical="center"/>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5" fillId="10" borderId="1" xfId="0" applyFont="1" applyFill="1" applyBorder="1" applyAlignment="1">
      <alignment horizontal="center" vertical="center" wrapText="1"/>
    </xf>
    <xf numFmtId="0" fontId="35" fillId="10" borderId="2"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2" fillId="0" borderId="4" xfId="0" applyFont="1" applyBorder="1" applyAlignment="1">
      <alignment horizont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2" fillId="0" borderId="4" xfId="0" applyFont="1" applyBorder="1"/>
    <xf numFmtId="0" fontId="0" fillId="0" borderId="4" xfId="0" applyBorder="1"/>
    <xf numFmtId="0" fontId="32" fillId="0" borderId="1" xfId="0"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0" fillId="0" borderId="4" xfId="0" applyBorder="1" applyAlignment="1">
      <alignment horizontal="center" wrapText="1"/>
    </xf>
    <xf numFmtId="0" fontId="32"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29" fillId="0" borderId="0" xfId="0" applyFont="1" applyAlignment="1">
      <alignment horizontal="left"/>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4" xfId="0" applyBorder="1" applyAlignment="1">
      <alignment horizontal="center" vertical="center"/>
    </xf>
    <xf numFmtId="0" fontId="32" fillId="0" borderId="4" xfId="0" applyFont="1" applyBorder="1" applyAlignment="1">
      <alignment horizontal="center" vertical="center" wrapText="1"/>
    </xf>
    <xf numFmtId="0" fontId="34" fillId="9" borderId="4" xfId="0" applyFont="1" applyFill="1" applyBorder="1" applyAlignment="1">
      <alignment horizontal="center"/>
    </xf>
    <xf numFmtId="4" fontId="40" fillId="15" borderId="1" xfId="0" applyNumberFormat="1" applyFont="1" applyFill="1" applyBorder="1" applyAlignment="1">
      <alignment horizontal="center" vertical="center"/>
    </xf>
    <xf numFmtId="4" fontId="40" fillId="15" borderId="3" xfId="0" applyNumberFormat="1" applyFont="1" applyFill="1" applyBorder="1" applyAlignment="1">
      <alignment horizontal="center" vertical="center"/>
    </xf>
    <xf numFmtId="4" fontId="38" fillId="0" borderId="1" xfId="0" applyNumberFormat="1" applyFont="1" applyBorder="1" applyAlignment="1">
      <alignment horizontal="center" vertical="center"/>
    </xf>
    <xf numFmtId="4" fontId="38" fillId="0" borderId="3" xfId="0" applyNumberFormat="1" applyFont="1" applyBorder="1" applyAlignment="1">
      <alignment horizontal="center" vertical="center"/>
    </xf>
    <xf numFmtId="4" fontId="30" fillId="0" borderId="1" xfId="0" applyNumberFormat="1" applyFont="1" applyBorder="1" applyAlignment="1">
      <alignment horizontal="center" vertical="center"/>
    </xf>
    <xf numFmtId="4" fontId="30" fillId="0" borderId="3" xfId="0" applyNumberFormat="1" applyFont="1" applyBorder="1" applyAlignment="1">
      <alignment horizontal="center" vertical="center"/>
    </xf>
    <xf numFmtId="0" fontId="40" fillId="15" borderId="1" xfId="0" applyFont="1" applyFill="1" applyBorder="1" applyAlignment="1">
      <alignment horizontal="center" vertical="center"/>
    </xf>
    <xf numFmtId="0" fontId="40" fillId="15" borderId="2" xfId="0" applyFont="1" applyFill="1" applyBorder="1" applyAlignment="1">
      <alignment horizontal="center" vertical="center"/>
    </xf>
    <xf numFmtId="0" fontId="40" fillId="15" borderId="3" xfId="0" applyFont="1" applyFill="1" applyBorder="1" applyAlignment="1">
      <alignment horizontal="center" vertical="center"/>
    </xf>
    <xf numFmtId="0" fontId="30" fillId="16" borderId="10" xfId="0" applyFont="1" applyFill="1" applyBorder="1" applyAlignment="1">
      <alignment horizontal="center" vertical="center"/>
    </xf>
    <xf numFmtId="0" fontId="38" fillId="0" borderId="1" xfId="0" applyFont="1" applyBorder="1" applyAlignment="1">
      <alignment horizontal="center" vertical="center"/>
    </xf>
    <xf numFmtId="0" fontId="38" fillId="0" borderId="3" xfId="0" applyFont="1" applyBorder="1" applyAlignment="1">
      <alignment horizontal="center" vertical="center"/>
    </xf>
    <xf numFmtId="4" fontId="38" fillId="0" borderId="1" xfId="0" applyNumberFormat="1" applyFont="1" applyBorder="1" applyAlignment="1">
      <alignment horizontal="center"/>
    </xf>
    <xf numFmtId="4" fontId="38" fillId="0" borderId="3" xfId="0" applyNumberFormat="1" applyFont="1" applyBorder="1" applyAlignment="1">
      <alignment horizontal="center"/>
    </xf>
    <xf numFmtId="4" fontId="38" fillId="0" borderId="25" xfId="0" applyNumberFormat="1" applyFont="1" applyBorder="1" applyAlignment="1">
      <alignment horizontal="center"/>
    </xf>
    <xf numFmtId="0" fontId="38" fillId="0" borderId="1" xfId="0" applyFont="1" applyBorder="1" applyAlignment="1">
      <alignment horizontal="center"/>
    </xf>
    <xf numFmtId="0" fontId="38" fillId="0" borderId="3" xfId="0" applyFont="1" applyBorder="1" applyAlignment="1">
      <alignment horizontal="center"/>
    </xf>
    <xf numFmtId="0" fontId="30" fillId="0" borderId="26" xfId="0" applyFont="1" applyBorder="1" applyAlignment="1">
      <alignment horizontal="center" vertical="center"/>
    </xf>
    <xf numFmtId="0" fontId="30" fillId="0" borderId="14" xfId="0" applyFont="1" applyBorder="1" applyAlignment="1">
      <alignment horizontal="center" vertical="center"/>
    </xf>
    <xf numFmtId="0" fontId="30" fillId="0" borderId="27" xfId="0" applyFont="1" applyBorder="1" applyAlignment="1">
      <alignment horizontal="center" vertical="center"/>
    </xf>
    <xf numFmtId="0" fontId="30" fillId="0" borderId="1" xfId="0" applyFont="1" applyBorder="1" applyAlignment="1">
      <alignment horizontal="right" vertical="center"/>
    </xf>
    <xf numFmtId="0" fontId="30" fillId="0" borderId="2" xfId="0" applyFont="1" applyBorder="1" applyAlignment="1">
      <alignment horizontal="right" vertical="center"/>
    </xf>
    <xf numFmtId="0" fontId="30" fillId="0" borderId="3" xfId="0" applyFont="1" applyBorder="1" applyAlignment="1">
      <alignment horizontal="right" vertical="center"/>
    </xf>
    <xf numFmtId="0" fontId="30" fillId="8" borderId="1" xfId="0" applyFont="1" applyFill="1" applyBorder="1" applyAlignment="1">
      <alignment horizontal="center" vertical="center"/>
    </xf>
    <xf numFmtId="0" fontId="30" fillId="8" borderId="2" xfId="0" applyFont="1" applyFill="1" applyBorder="1" applyAlignment="1">
      <alignment horizontal="center" vertical="center"/>
    </xf>
    <xf numFmtId="0" fontId="30" fillId="8" borderId="3" xfId="0" applyFont="1" applyFill="1" applyBorder="1" applyAlignment="1">
      <alignment horizontal="center" vertical="center"/>
    </xf>
    <xf numFmtId="4" fontId="30" fillId="8" borderId="1" xfId="0" applyNumberFormat="1" applyFont="1" applyFill="1" applyBorder="1" applyAlignment="1">
      <alignment horizontal="center" vertical="center"/>
    </xf>
    <xf numFmtId="4" fontId="30" fillId="8" borderId="3" xfId="0" applyNumberFormat="1" applyFont="1" applyFill="1" applyBorder="1" applyAlignment="1">
      <alignment horizontal="center" vertical="center"/>
    </xf>
    <xf numFmtId="0" fontId="40" fillId="13" borderId="1" xfId="0" applyFont="1" applyFill="1" applyBorder="1" applyAlignment="1">
      <alignment horizontal="left" vertical="center" wrapText="1"/>
    </xf>
    <xf numFmtId="0" fontId="40" fillId="13" borderId="2" xfId="0" applyFont="1" applyFill="1" applyBorder="1" applyAlignment="1">
      <alignment horizontal="left" vertical="center" wrapText="1"/>
    </xf>
    <xf numFmtId="0" fontId="40" fillId="13" borderId="3" xfId="0" applyFont="1" applyFill="1" applyBorder="1" applyAlignment="1">
      <alignment horizontal="left" vertical="center" wrapText="1"/>
    </xf>
    <xf numFmtId="0" fontId="30" fillId="0" borderId="1" xfId="0" applyFont="1" applyBorder="1" applyAlignment="1">
      <alignment horizontal="center" vertical="center"/>
    </xf>
    <xf numFmtId="0" fontId="30" fillId="0" borderId="3" xfId="0" applyFont="1" applyBorder="1" applyAlignment="1">
      <alignment horizontal="center" vertical="center"/>
    </xf>
    <xf numFmtId="4" fontId="30" fillId="0" borderId="1" xfId="0" applyNumberFormat="1" applyFont="1" applyBorder="1" applyAlignment="1">
      <alignment horizontal="center" vertical="center" wrapText="1"/>
    </xf>
    <xf numFmtId="0" fontId="38" fillId="0" borderId="3" xfId="0" applyFont="1" applyBorder="1" applyAlignment="1">
      <alignment horizontal="center" vertical="center" wrapText="1"/>
    </xf>
    <xf numFmtId="4" fontId="30" fillId="0" borderId="2" xfId="0" applyNumberFormat="1" applyFont="1" applyBorder="1" applyAlignment="1">
      <alignment horizontal="center" vertical="center" wrapText="1"/>
    </xf>
    <xf numFmtId="4" fontId="30" fillId="0" borderId="3" xfId="0" applyNumberFormat="1" applyFont="1" applyBorder="1" applyAlignment="1">
      <alignment horizontal="center" vertical="center" wrapText="1"/>
    </xf>
    <xf numFmtId="0" fontId="30" fillId="14" borderId="1" xfId="0" applyFont="1" applyFill="1" applyBorder="1" applyAlignment="1">
      <alignment horizontal="center" vertical="center"/>
    </xf>
    <xf numFmtId="0" fontId="30" fillId="14" borderId="3" xfId="0" applyFont="1" applyFill="1" applyBorder="1" applyAlignment="1">
      <alignment horizontal="center" vertical="center"/>
    </xf>
    <xf numFmtId="0" fontId="30" fillId="14" borderId="1"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0" fillId="0" borderId="36" xfId="0" applyFont="1" applyBorder="1" applyAlignment="1">
      <alignment horizontal="center" vertical="center"/>
    </xf>
    <xf numFmtId="0" fontId="38" fillId="0" borderId="30" xfId="0" applyFont="1" applyBorder="1" applyAlignment="1">
      <alignment horizontal="center" vertical="center"/>
    </xf>
    <xf numFmtId="0" fontId="38" fillId="0" borderId="10" xfId="0" applyFont="1" applyBorder="1" applyAlignment="1">
      <alignment horizontal="center" vertical="center"/>
    </xf>
    <xf numFmtId="0" fontId="38" fillId="0" borderId="35" xfId="0" applyFont="1" applyBorder="1" applyAlignment="1">
      <alignment horizontal="center" vertical="center"/>
    </xf>
    <xf numFmtId="0" fontId="30" fillId="12" borderId="22" xfId="0" applyFont="1" applyFill="1" applyBorder="1" applyAlignment="1">
      <alignment horizontal="center" vertical="center" wrapText="1"/>
    </xf>
    <xf numFmtId="0" fontId="30" fillId="12" borderId="23" xfId="0" applyFont="1" applyFill="1" applyBorder="1" applyAlignment="1">
      <alignment horizontal="center" vertical="center" wrapText="1"/>
    </xf>
    <xf numFmtId="0" fontId="30" fillId="12" borderId="12" xfId="0" applyFont="1" applyFill="1" applyBorder="1" applyAlignment="1">
      <alignment horizontal="center" vertical="center" wrapText="1"/>
    </xf>
    <xf numFmtId="0" fontId="30" fillId="0" borderId="11" xfId="0" applyFont="1" applyBorder="1" applyAlignment="1">
      <alignment horizontal="center" vertical="center"/>
    </xf>
    <xf numFmtId="0" fontId="30" fillId="0" borderId="17" xfId="0" applyFont="1" applyBorder="1" applyAlignment="1">
      <alignment horizontal="center" vertical="center"/>
    </xf>
    <xf numFmtId="0" fontId="40" fillId="11" borderId="1" xfId="0" applyFont="1" applyFill="1" applyBorder="1" applyAlignment="1">
      <alignment horizontal="center" vertical="center" wrapText="1"/>
    </xf>
    <xf numFmtId="0" fontId="40" fillId="11" borderId="2" xfId="0" applyFont="1" applyFill="1" applyBorder="1" applyAlignment="1">
      <alignment horizontal="center" vertical="center" wrapText="1"/>
    </xf>
    <xf numFmtId="0" fontId="40" fillId="11" borderId="3" xfId="0" applyFont="1" applyFill="1" applyBorder="1" applyAlignment="1">
      <alignment horizontal="center" vertical="center" wrapText="1"/>
    </xf>
    <xf numFmtId="0" fontId="30" fillId="0" borderId="4" xfId="0" applyFont="1" applyBorder="1" applyAlignment="1">
      <alignment horizontal="left" vertical="center"/>
    </xf>
    <xf numFmtId="0" fontId="38" fillId="0" borderId="34" xfId="0" applyFont="1" applyBorder="1" applyAlignment="1">
      <alignment horizontal="left" vertical="center"/>
    </xf>
    <xf numFmtId="0" fontId="38" fillId="0" borderId="10" xfId="0" applyFont="1" applyBorder="1" applyAlignment="1">
      <alignment horizontal="left" vertical="center"/>
    </xf>
    <xf numFmtId="4" fontId="30" fillId="0" borderId="28" xfId="0" applyNumberFormat="1" applyFont="1" applyBorder="1" applyAlignment="1">
      <alignment horizontal="center" vertical="center"/>
    </xf>
    <xf numFmtId="4" fontId="30" fillId="0" borderId="29" xfId="0" applyNumberFormat="1" applyFont="1" applyBorder="1" applyAlignment="1">
      <alignment horizontal="center" vertical="center"/>
    </xf>
    <xf numFmtId="17" fontId="38" fillId="0" borderId="1" xfId="0" applyNumberFormat="1" applyFont="1" applyBorder="1" applyAlignment="1">
      <alignment horizontal="center"/>
    </xf>
    <xf numFmtId="17" fontId="38" fillId="0" borderId="3" xfId="0" applyNumberFormat="1" applyFont="1" applyBorder="1" applyAlignment="1">
      <alignment horizontal="center"/>
    </xf>
    <xf numFmtId="0" fontId="30" fillId="0" borderId="10" xfId="0" applyFont="1" applyBorder="1" applyAlignment="1">
      <alignment horizontal="center" vertical="center"/>
    </xf>
    <xf numFmtId="0" fontId="30" fillId="9" borderId="1" xfId="0" applyFont="1" applyFill="1" applyBorder="1" applyAlignment="1">
      <alignment horizontal="center" vertical="center"/>
    </xf>
    <xf numFmtId="0" fontId="30" fillId="9" borderId="3" xfId="0" applyFont="1" applyFill="1" applyBorder="1" applyAlignment="1">
      <alignment horizontal="center" vertical="center"/>
    </xf>
    <xf numFmtId="0" fontId="30" fillId="9" borderId="25" xfId="0" applyFont="1" applyFill="1" applyBorder="1" applyAlignment="1">
      <alignment horizontal="center" vertical="center"/>
    </xf>
    <xf numFmtId="0" fontId="30" fillId="0" borderId="30" xfId="0" applyFont="1" applyBorder="1" applyAlignment="1">
      <alignment horizontal="center" vertical="center"/>
    </xf>
    <xf numFmtId="0" fontId="30" fillId="0" borderId="9" xfId="0" applyFont="1" applyBorder="1" applyAlignment="1">
      <alignment horizontal="center" vertical="center"/>
    </xf>
    <xf numFmtId="0" fontId="30" fillId="0" borderId="31" xfId="0" applyFont="1" applyBorder="1" applyAlignment="1">
      <alignment horizontal="center" vertical="center"/>
    </xf>
    <xf numFmtId="0" fontId="30" fillId="0" borderId="0" xfId="0" applyFont="1" applyAlignment="1">
      <alignment horizontal="left"/>
    </xf>
    <xf numFmtId="0" fontId="38" fillId="0" borderId="0" xfId="0" applyFont="1" applyAlignment="1">
      <alignment horizontal="left"/>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40" fillId="11" borderId="13" xfId="0" applyFont="1" applyFill="1" applyBorder="1" applyAlignment="1">
      <alignment horizontal="center" vertical="center" wrapText="1"/>
    </xf>
    <xf numFmtId="0" fontId="40" fillId="11" borderId="10" xfId="0" applyFont="1" applyFill="1" applyBorder="1" applyAlignment="1">
      <alignment horizontal="center" vertical="center" wrapText="1"/>
    </xf>
    <xf numFmtId="0" fontId="40" fillId="11" borderId="8" xfId="0" applyFont="1" applyFill="1" applyBorder="1" applyAlignment="1">
      <alignment horizontal="center" vertical="center" wrapText="1"/>
    </xf>
    <xf numFmtId="0" fontId="40" fillId="0" borderId="10" xfId="0" applyFont="1" applyBorder="1" applyAlignment="1">
      <alignment horizontal="center" vertical="center" wrapText="1"/>
    </xf>
    <xf numFmtId="0" fontId="3" fillId="22" borderId="55" xfId="0" applyFont="1" applyFill="1" applyBorder="1" applyAlignment="1">
      <alignment horizontal="center" vertical="center" wrapText="1"/>
    </xf>
    <xf numFmtId="0" fontId="3" fillId="22" borderId="40" xfId="0" applyFont="1" applyFill="1" applyBorder="1" applyAlignment="1">
      <alignment horizontal="center" vertical="center" wrapText="1"/>
    </xf>
    <xf numFmtId="0" fontId="3" fillId="22" borderId="56" xfId="0" applyFont="1" applyFill="1" applyBorder="1" applyAlignment="1">
      <alignment horizontal="center" vertical="center" wrapText="1"/>
    </xf>
    <xf numFmtId="0" fontId="6" fillId="0" borderId="0" xfId="0" applyFont="1" applyAlignment="1">
      <alignment horizontal="center"/>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0" fontId="3" fillId="4" borderId="4" xfId="0" applyFont="1" applyFill="1" applyBorder="1" applyAlignment="1">
      <alignment horizontal="center" vertical="center" wrapText="1"/>
    </xf>
    <xf numFmtId="0" fontId="3" fillId="22" borderId="4" xfId="0" applyFont="1" applyFill="1" applyBorder="1" applyAlignment="1">
      <alignment horizontal="center" vertical="center" wrapText="1"/>
    </xf>
    <xf numFmtId="0" fontId="3" fillId="22" borderId="46" xfId="0" applyFont="1" applyFill="1" applyBorder="1" applyAlignment="1">
      <alignment horizontal="center" vertical="center" wrapText="1"/>
    </xf>
    <xf numFmtId="0" fontId="3" fillId="17" borderId="1" xfId="0" applyFont="1" applyFill="1" applyBorder="1" applyAlignment="1">
      <alignment horizontal="center" vertical="center"/>
    </xf>
    <xf numFmtId="0" fontId="3" fillId="17" borderId="2" xfId="0" applyFont="1" applyFill="1" applyBorder="1" applyAlignment="1">
      <alignment horizontal="center" vertical="center"/>
    </xf>
    <xf numFmtId="0" fontId="3" fillId="17" borderId="3"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7" xfId="0" applyFont="1" applyFill="1" applyBorder="1" applyAlignment="1">
      <alignment horizontal="center" vertical="center"/>
    </xf>
    <xf numFmtId="0" fontId="16" fillId="22" borderId="4" xfId="0" applyFont="1" applyFill="1" applyBorder="1" applyAlignment="1">
      <alignment horizontal="center" vertical="center" wrapText="1"/>
    </xf>
    <xf numFmtId="0" fontId="16" fillId="22" borderId="32" xfId="0" applyFont="1" applyFill="1" applyBorder="1" applyAlignment="1">
      <alignment horizontal="center" vertical="center" wrapText="1"/>
    </xf>
    <xf numFmtId="0" fontId="3" fillId="22" borderId="32" xfId="0" applyFont="1" applyFill="1" applyBorder="1" applyAlignment="1">
      <alignment horizontal="center" vertical="center" wrapText="1"/>
    </xf>
    <xf numFmtId="166" fontId="16" fillId="0" borderId="4" xfId="0" applyNumberFormat="1" applyFont="1" applyBorder="1" applyAlignment="1">
      <alignment horizontal="center" vertical="center"/>
    </xf>
    <xf numFmtId="0" fontId="16" fillId="0" borderId="4" xfId="0" applyFont="1" applyBorder="1" applyAlignment="1">
      <alignment horizontal="center" vertical="center"/>
    </xf>
    <xf numFmtId="44" fontId="23" fillId="0" borderId="4" xfId="0" applyNumberFormat="1" applyFont="1" applyBorder="1" applyAlignment="1">
      <alignment horizontal="center"/>
    </xf>
    <xf numFmtId="0" fontId="23" fillId="0" borderId="4" xfId="0" applyFont="1" applyBorder="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8" fillId="22" borderId="4" xfId="0" applyFont="1" applyFill="1" applyBorder="1" applyAlignment="1">
      <alignment horizontal="center" vertical="center" wrapText="1"/>
    </xf>
    <xf numFmtId="0" fontId="44" fillId="22" borderId="24" xfId="0" applyFont="1" applyFill="1" applyBorder="1" applyAlignment="1">
      <alignment horizontal="center" vertical="center" wrapText="1"/>
    </xf>
    <xf numFmtId="0" fontId="44" fillId="22"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2" xfId="0" applyBorder="1" applyAlignment="1">
      <alignment horizontal="center"/>
    </xf>
    <xf numFmtId="0" fontId="6" fillId="0" borderId="7" xfId="0" applyFont="1" applyBorder="1" applyAlignment="1">
      <alignment horizontal="center"/>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6" xfId="0" applyFont="1" applyBorder="1" applyAlignment="1">
      <alignment horizontal="center" vertical="center" wrapText="1"/>
    </xf>
    <xf numFmtId="0" fontId="3" fillId="3" borderId="2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4" fillId="0" borderId="39"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5" xfId="0" applyFont="1" applyBorder="1" applyAlignment="1">
      <alignment horizontal="center" vertical="center" wrapText="1"/>
    </xf>
    <xf numFmtId="166" fontId="4" fillId="0" borderId="42" xfId="0" applyNumberFormat="1" applyFont="1" applyBorder="1" applyAlignment="1">
      <alignment horizontal="center" vertical="center"/>
    </xf>
    <xf numFmtId="166" fontId="4" fillId="0" borderId="44" xfId="0" applyNumberFormat="1" applyFont="1" applyBorder="1" applyAlignment="1">
      <alignment horizontal="center" vertical="center"/>
    </xf>
    <xf numFmtId="166" fontId="4" fillId="0" borderId="48" xfId="0" applyNumberFormat="1" applyFont="1" applyBorder="1" applyAlignment="1">
      <alignment horizontal="center" vertical="center"/>
    </xf>
    <xf numFmtId="166" fontId="4" fillId="0" borderId="41" xfId="0" applyNumberFormat="1" applyFont="1" applyBorder="1" applyAlignment="1">
      <alignment horizontal="center" vertical="center"/>
    </xf>
    <xf numFmtId="166" fontId="4" fillId="0" borderId="20" xfId="0" applyNumberFormat="1" applyFont="1" applyBorder="1" applyAlignment="1">
      <alignment horizontal="center" vertical="center"/>
    </xf>
    <xf numFmtId="166" fontId="4" fillId="0" borderId="47" xfId="0" applyNumberFormat="1" applyFont="1" applyBorder="1" applyAlignment="1">
      <alignment horizontal="center" vertical="center"/>
    </xf>
    <xf numFmtId="166" fontId="4" fillId="0" borderId="40" xfId="0" applyNumberFormat="1" applyFont="1" applyBorder="1" applyAlignment="1">
      <alignment horizontal="center" vertical="center"/>
    </xf>
    <xf numFmtId="166" fontId="4" fillId="0" borderId="4" xfId="0" applyNumberFormat="1" applyFont="1" applyBorder="1" applyAlignment="1">
      <alignment horizontal="center" vertical="center"/>
    </xf>
    <xf numFmtId="166" fontId="4" fillId="0" borderId="46"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 xfId="0" applyNumberFormat="1" applyFont="1" applyBorder="1" applyAlignment="1">
      <alignment horizontal="center" vertical="center"/>
    </xf>
    <xf numFmtId="0" fontId="4" fillId="0" borderId="22" xfId="0" applyFont="1" applyBorder="1" applyAlignment="1">
      <alignment horizontal="center" vertical="center" wrapText="1"/>
    </xf>
    <xf numFmtId="0" fontId="4" fillId="0" borderId="0" xfId="0" applyFont="1" applyAlignment="1">
      <alignment horizontal="center"/>
    </xf>
    <xf numFmtId="0" fontId="23" fillId="0" borderId="13" xfId="0" applyFont="1" applyBorder="1" applyAlignment="1">
      <alignment horizontal="center"/>
    </xf>
    <xf numFmtId="0" fontId="23" fillId="0" borderId="10" xfId="0" applyFont="1" applyBorder="1" applyAlignment="1">
      <alignment horizontal="center"/>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46" fillId="22" borderId="4" xfId="0"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7" xfId="0" applyFont="1" applyBorder="1" applyAlignment="1">
      <alignment horizontal="left" vertical="center"/>
    </xf>
    <xf numFmtId="0" fontId="3"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5" xfId="0" applyFont="1" applyBorder="1" applyAlignment="1">
      <alignment horizontal="center" vertical="center" wrapText="1"/>
    </xf>
    <xf numFmtId="0" fontId="3" fillId="22" borderId="1" xfId="0" applyFont="1" applyFill="1" applyBorder="1" applyAlignment="1">
      <alignment horizontal="center" vertical="center" wrapText="1"/>
    </xf>
    <xf numFmtId="0" fontId="3" fillId="22" borderId="3" xfId="0" applyFont="1" applyFill="1" applyBorder="1" applyAlignment="1">
      <alignment horizontal="center" vertical="center" wrapText="1"/>
    </xf>
    <xf numFmtId="0" fontId="3" fillId="22" borderId="1" xfId="0" applyFont="1" applyFill="1" applyBorder="1" applyAlignment="1">
      <alignment horizontal="center" vertical="center"/>
    </xf>
    <xf numFmtId="0" fontId="3" fillId="22" borderId="2" xfId="0" applyFont="1" applyFill="1" applyBorder="1" applyAlignment="1">
      <alignment horizontal="center" vertical="center"/>
    </xf>
    <xf numFmtId="0" fontId="3" fillId="22" borderId="3" xfId="0" applyFont="1" applyFill="1" applyBorder="1" applyAlignment="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2" fillId="21" borderId="4" xfId="0" applyFont="1" applyFill="1" applyBorder="1" applyAlignment="1">
      <alignment horizontal="center" vertical="center"/>
    </xf>
    <xf numFmtId="0" fontId="16" fillId="20" borderId="4" xfId="0" applyFont="1" applyFill="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16" fillId="5" borderId="4" xfId="0" applyFont="1" applyFill="1" applyBorder="1" applyAlignment="1">
      <alignment horizontal="center" vertical="center" wrapText="1"/>
    </xf>
    <xf numFmtId="0" fontId="16" fillId="5" borderId="4" xfId="0" applyFont="1" applyFill="1" applyBorder="1" applyAlignment="1">
      <alignment horizontal="center" vertical="center"/>
    </xf>
    <xf numFmtId="0" fontId="2" fillId="13" borderId="4" xfId="0" applyFont="1" applyFill="1" applyBorder="1" applyAlignment="1">
      <alignment horizontal="center" vertical="center"/>
    </xf>
  </cellXfs>
  <cellStyles count="5">
    <cellStyle name="Hiperlink" xfId="4" builtinId="8"/>
    <cellStyle name="Moeda" xfId="1" builtinId="4"/>
    <cellStyle name="Normal" xfId="0" builtinId="0"/>
    <cellStyle name="Normal 2" xfId="3" xr:uid="{00000000-0005-0000-0000-000003000000}"/>
    <cellStyle name="Vírgula"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ABINETE/Termo%20de%20Referencia/TR%20Diversos%202019/TR%20Manuten&#231;&#227;o%20Ar%20Condicionado/PLANLHAS/Planilha%20Manuten&#231;&#227;o%20Ar%20Condicionado%202019%20(Salvo%20automaticamen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ABINETE/Termo%20de%20Referencia/TR%20Diversos%202015/TR%20Limpeza/Planilhas/Planilha%20de%20Custos%20e%20Forma&#231;&#227;o%20de%20Pre&#231;os%20Servi&#231;os%20LImpeza%20%20IN%2002-2008%20Lucro%20Presumido%202015%20Revisada%20sem%20Auxiliar..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Z:\APOIO%202025\Mar&#231;o%202025\SERVI&#199;OS%20DE%20LIMPEZA\PROPOSTAS\Planilhas%20de%20Custo%20e%20Forma&#231;&#227;o%20de%20Pre&#231;os%20-%20Limpeza%20MINAS%20ENERGIA.xlsx" TargetMode="External"/><Relationship Id="rId1" Type="http://schemas.openxmlformats.org/officeDocument/2006/relationships/externalLinkPath" Target="PROPOSTAS/Planilhas%20de%20Custo%20e%20Forma&#231;&#227;o%20de%20Pre&#231;os%20-%20Limpeza%20MINAS%20ENERG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ção Mat. Consumo Repos. (2"/>
      <sheetName val="Mat. Dimerização"/>
      <sheetName val="Eng. Mecânico"/>
      <sheetName val="Tec. Segurança "/>
      <sheetName val="Encarregado de Manutenção AC"/>
      <sheetName val="Tec. Mecânico AC"/>
      <sheetName val="Auxiliar Técnico AC"/>
      <sheetName val="Materiais Pesquisa"/>
      <sheetName val="Serviços Especializado Pesquisa"/>
      <sheetName val="Serviços Especializado Consolid"/>
      <sheetName val="Ferramentas-Equips Pesquisa "/>
      <sheetName val=" EPI Pesquisa"/>
      <sheetName val=" Uniformes Pesquisa"/>
      <sheetName val="Uniformes Consolidada"/>
      <sheetName val="Resumo Geral (MO+Mat.)"/>
      <sheetName val="Autorização de Materiais"/>
      <sheetName val="Pesquisa MO x Orgãos Publicos"/>
      <sheetName val="Form. Relatório Manut. Corre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carregado"/>
      <sheetName val="Servente"/>
      <sheetName val="Jardineiro"/>
      <sheetName val="Jauzeiro"/>
      <sheetName val="Lavador de Auto"/>
      <sheetName val="Carregador de Móveis"/>
      <sheetName val="Levantamento de Áreas"/>
      <sheetName val="Valor MO Mensal, m²"/>
      <sheetName val="Material Cons Mensal Anual"/>
      <sheetName val="Uniformes"/>
      <sheetName val="Equips Ferr Básicos por Categ"/>
      <sheetName val="TOTAL ANUAL (MO+MAT)"/>
      <sheetName val="Valores Máximos p m²"/>
    </sheetNames>
    <sheetDataSet>
      <sheetData sheetId="0" refreshError="1"/>
      <sheetData sheetId="1" refreshError="1"/>
      <sheetData sheetId="2" refreshError="1"/>
      <sheetData sheetId="3" refreshError="1"/>
      <sheetData sheetId="4" refreshError="1"/>
      <sheetData sheetId="5" refreshError="1"/>
      <sheetData sheetId="6" refreshError="1">
        <row r="75">
          <cell r="G75">
            <v>12303.967199999999</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carregado"/>
      <sheetName val="Servente"/>
      <sheetName val="Ag. Higienização de Banheiros"/>
      <sheetName val="Jauzeiro"/>
      <sheetName val="Jardineiro"/>
      <sheetName val="Lavador de Autos"/>
      <sheetName val="Carregador de Móveis"/>
      <sheetName val="Levantamento de Áreas"/>
      <sheetName val="Valor MO Mensal, m²"/>
      <sheetName val="Material Cons Mensal Anual "/>
      <sheetName val="Uniformes Total"/>
      <sheetName val="Uniformes Por Categoria"/>
      <sheetName val="Equips Ferr Básicos p Funcion"/>
      <sheetName val="Resumo Geral (MO+MAT.)"/>
      <sheetName val="Valores Limites Limpeza m² DF"/>
    </sheetNames>
    <sheetDataSet>
      <sheetData sheetId="0"/>
      <sheetData sheetId="1"/>
      <sheetData sheetId="2"/>
      <sheetData sheetId="3"/>
      <sheetData sheetId="4"/>
      <sheetData sheetId="5"/>
      <sheetData sheetId="6"/>
      <sheetData sheetId="7"/>
      <sheetData sheetId="8"/>
      <sheetData sheetId="9"/>
      <sheetData sheetId="10">
        <row r="11">
          <cell r="E11">
            <v>12</v>
          </cell>
        </row>
        <row r="12">
          <cell r="E12">
            <v>58</v>
          </cell>
        </row>
        <row r="13">
          <cell r="E13">
            <v>58</v>
          </cell>
        </row>
        <row r="14">
          <cell r="E14">
            <v>26</v>
          </cell>
        </row>
        <row r="15">
          <cell r="E15">
            <v>55</v>
          </cell>
        </row>
        <row r="16">
          <cell r="E16">
            <v>48</v>
          </cell>
        </row>
        <row r="17">
          <cell r="E17">
            <v>120</v>
          </cell>
        </row>
        <row r="18">
          <cell r="E18">
            <v>60</v>
          </cell>
        </row>
        <row r="19">
          <cell r="E19">
            <v>60</v>
          </cell>
        </row>
        <row r="21">
          <cell r="E21">
            <v>48</v>
          </cell>
        </row>
        <row r="22">
          <cell r="E22">
            <v>48</v>
          </cell>
        </row>
        <row r="23">
          <cell r="E23">
            <v>29</v>
          </cell>
        </row>
        <row r="24">
          <cell r="E24">
            <v>35</v>
          </cell>
        </row>
        <row r="25">
          <cell r="E25">
            <v>20</v>
          </cell>
        </row>
        <row r="26">
          <cell r="E26">
            <v>80</v>
          </cell>
        </row>
        <row r="27">
          <cell r="E27">
            <v>60</v>
          </cell>
        </row>
        <row r="28">
          <cell r="E28">
            <v>30</v>
          </cell>
        </row>
        <row r="30">
          <cell r="E30">
            <v>10</v>
          </cell>
        </row>
        <row r="31">
          <cell r="E31">
            <v>10</v>
          </cell>
        </row>
        <row r="32">
          <cell r="E32">
            <v>300</v>
          </cell>
        </row>
        <row r="34">
          <cell r="E34">
            <v>5</v>
          </cell>
        </row>
        <row r="35">
          <cell r="E35">
            <v>60</v>
          </cell>
        </row>
        <row r="36">
          <cell r="E36">
            <v>60</v>
          </cell>
        </row>
      </sheetData>
      <sheetData sheetId="11"/>
      <sheetData sheetId="12"/>
      <sheetData sheetId="13"/>
      <sheetData sheetId="1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superepi.com.br/pesquisa/?p=ksn"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58"/>
  <sheetViews>
    <sheetView topLeftCell="A55" zoomScale="130" zoomScaleNormal="130" workbookViewId="0">
      <selection activeCell="K63" sqref="K63"/>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45831.471022685182</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31.5" customHeight="1" x14ac:dyDescent="0.25">
      <c r="A24" s="343" t="s">
        <v>101</v>
      </c>
      <c r="B24" s="343"/>
      <c r="C24" s="343"/>
      <c r="D24" s="343"/>
      <c r="E24" s="9" t="s">
        <v>102</v>
      </c>
      <c r="F24" s="344" t="s">
        <v>103</v>
      </c>
      <c r="G24" s="345"/>
    </row>
    <row r="25" spans="1:7" ht="15.75" x14ac:dyDescent="0.25">
      <c r="A25" s="333" t="s">
        <v>211</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Encarregado(a) de Limpeza</v>
      </c>
      <c r="G32" s="277"/>
    </row>
    <row r="33" spans="1:7" x14ac:dyDescent="0.25">
      <c r="A33" s="12">
        <v>2</v>
      </c>
      <c r="B33" s="288" t="s">
        <v>111</v>
      </c>
      <c r="C33" s="289"/>
      <c r="D33" s="289"/>
      <c r="E33" s="290"/>
      <c r="F33" s="275" t="s">
        <v>212</v>
      </c>
      <c r="G33" s="277"/>
    </row>
    <row r="34" spans="1:7" x14ac:dyDescent="0.25">
      <c r="A34" s="13">
        <v>3</v>
      </c>
      <c r="B34" s="326" t="s">
        <v>521</v>
      </c>
      <c r="C34" s="327"/>
      <c r="D34" s="327"/>
      <c r="E34" s="328"/>
      <c r="F34" s="329">
        <v>3383.5</v>
      </c>
      <c r="G34" s="330"/>
    </row>
    <row r="35" spans="1:7" x14ac:dyDescent="0.25">
      <c r="A35" s="12">
        <v>4</v>
      </c>
      <c r="B35" s="288" t="s">
        <v>112</v>
      </c>
      <c r="C35" s="289"/>
      <c r="D35" s="289"/>
      <c r="E35" s="290"/>
      <c r="F35" s="275" t="str">
        <f>A25</f>
        <v>Encarregado(a) de Limpeza</v>
      </c>
      <c r="G35" s="277"/>
    </row>
    <row r="36" spans="1:7" ht="29.25" customHeight="1" x14ac:dyDescent="0.25">
      <c r="A36" s="12">
        <v>5</v>
      </c>
      <c r="B36" s="278" t="s">
        <v>545</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3383.5</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3383.5</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281.84555</v>
      </c>
    </row>
    <row r="53" spans="1:7" x14ac:dyDescent="0.25">
      <c r="A53" s="12" t="s">
        <v>93</v>
      </c>
      <c r="B53" s="288" t="s">
        <v>131</v>
      </c>
      <c r="C53" s="289"/>
      <c r="D53" s="289"/>
      <c r="E53" s="290"/>
      <c r="F53" s="31">
        <f>8.33%+(8.33%*1/3)</f>
        <v>0.11106666666666666</v>
      </c>
      <c r="G53" s="26">
        <f>F53*G46</f>
        <v>375.79406666666665</v>
      </c>
    </row>
    <row r="54" spans="1:7" x14ac:dyDescent="0.25">
      <c r="A54" s="29"/>
      <c r="B54" s="281" t="s">
        <v>54</v>
      </c>
      <c r="C54" s="282"/>
      <c r="D54" s="282"/>
      <c r="E54" s="283"/>
      <c r="F54" s="32">
        <f>SUM(F52:F53)</f>
        <v>0.19436666666666666</v>
      </c>
      <c r="G54" s="22">
        <f>SUM(G52:G53)</f>
        <v>657.6396166666666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829.71690777777769</v>
      </c>
    </row>
    <row r="62" spans="1:7" x14ac:dyDescent="0.25">
      <c r="A62" s="12" t="s">
        <v>93</v>
      </c>
      <c r="B62" s="288" t="s">
        <v>139</v>
      </c>
      <c r="C62" s="289"/>
      <c r="D62" s="289"/>
      <c r="E62" s="290"/>
      <c r="F62" s="37">
        <v>2.5000000000000001E-2</v>
      </c>
      <c r="G62" s="38">
        <f>F62*(G46+G54+G127)</f>
        <v>103.71461347222221</v>
      </c>
    </row>
    <row r="63" spans="1:7" x14ac:dyDescent="0.25">
      <c r="A63" s="12" t="s">
        <v>96</v>
      </c>
      <c r="B63" s="288" t="s">
        <v>140</v>
      </c>
      <c r="C63" s="289"/>
      <c r="D63" s="289"/>
      <c r="E63" s="290"/>
      <c r="F63" s="37">
        <v>0.03</v>
      </c>
      <c r="G63" s="38">
        <f>F63*(G46+G54+G127)</f>
        <v>124.45753616666664</v>
      </c>
    </row>
    <row r="64" spans="1:7" x14ac:dyDescent="0.25">
      <c r="A64" s="12" t="s">
        <v>98</v>
      </c>
      <c r="B64" s="288" t="s">
        <v>141</v>
      </c>
      <c r="C64" s="289"/>
      <c r="D64" s="289"/>
      <c r="E64" s="290"/>
      <c r="F64" s="37">
        <v>1.4999999999999999E-2</v>
      </c>
      <c r="G64" s="38">
        <f>F64*(G46+G54+G127)</f>
        <v>62.228768083333321</v>
      </c>
    </row>
    <row r="65" spans="1:7" x14ac:dyDescent="0.25">
      <c r="A65" s="12" t="s">
        <v>120</v>
      </c>
      <c r="B65" s="288" t="s">
        <v>142</v>
      </c>
      <c r="C65" s="289"/>
      <c r="D65" s="289"/>
      <c r="E65" s="290"/>
      <c r="F65" s="37">
        <v>0.01</v>
      </c>
      <c r="G65" s="38">
        <f>F65*(G46+G54+G127)</f>
        <v>41.485845388888883</v>
      </c>
    </row>
    <row r="66" spans="1:7" x14ac:dyDescent="0.25">
      <c r="A66" s="12" t="s">
        <v>122</v>
      </c>
      <c r="B66" s="288" t="s">
        <v>143</v>
      </c>
      <c r="C66" s="289"/>
      <c r="D66" s="289"/>
      <c r="E66" s="290"/>
      <c r="F66" s="37">
        <v>6.0000000000000001E-3</v>
      </c>
      <c r="G66" s="38">
        <f>F66*(G46+G54+G127)</f>
        <v>24.891507233333332</v>
      </c>
    </row>
    <row r="67" spans="1:7" x14ac:dyDescent="0.25">
      <c r="A67" s="12" t="s">
        <v>144</v>
      </c>
      <c r="B67" s="288" t="s">
        <v>145</v>
      </c>
      <c r="C67" s="289"/>
      <c r="D67" s="289"/>
      <c r="E67" s="290"/>
      <c r="F67" s="37">
        <v>2E-3</v>
      </c>
      <c r="G67" s="38">
        <f>F67*(G46+G54+G127)</f>
        <v>8.2971690777777773</v>
      </c>
    </row>
    <row r="68" spans="1:7" x14ac:dyDescent="0.25">
      <c r="A68" s="12" t="s">
        <v>146</v>
      </c>
      <c r="B68" s="288" t="s">
        <v>147</v>
      </c>
      <c r="C68" s="289"/>
      <c r="D68" s="289"/>
      <c r="E68" s="290"/>
      <c r="F68" s="37">
        <v>0.08</v>
      </c>
      <c r="G68" s="38">
        <f>F68*(G46+G54+G127)</f>
        <v>331.88676311111107</v>
      </c>
    </row>
    <row r="69" spans="1:7" x14ac:dyDescent="0.25">
      <c r="A69" s="29"/>
      <c r="B69" s="281" t="s">
        <v>54</v>
      </c>
      <c r="C69" s="282"/>
      <c r="D69" s="282"/>
      <c r="E69" s="283"/>
      <c r="F69" s="32">
        <f>SUM(F61:F68)</f>
        <v>0.36800000000000005</v>
      </c>
      <c r="G69" s="39">
        <f>SUM(G61:G68)</f>
        <v>1526.6791103111113</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row>
    <row r="77" spans="1:7" ht="30" customHeight="1" x14ac:dyDescent="0.25">
      <c r="A77" s="12" t="s">
        <v>93</v>
      </c>
      <c r="B77" s="278" t="s">
        <v>612</v>
      </c>
      <c r="C77" s="278"/>
      <c r="D77" s="278"/>
      <c r="E77" s="278"/>
      <c r="F77" s="278"/>
      <c r="G77" s="26">
        <f>44.3*21</f>
        <v>930.3</v>
      </c>
    </row>
    <row r="78" spans="1:7" x14ac:dyDescent="0.25">
      <c r="A78" s="12" t="s">
        <v>96</v>
      </c>
      <c r="B78" s="315" t="s">
        <v>615</v>
      </c>
      <c r="C78" s="316"/>
      <c r="D78" s="316"/>
      <c r="E78" s="316"/>
      <c r="F78" s="316"/>
      <c r="G78" s="26">
        <v>0</v>
      </c>
    </row>
    <row r="79" spans="1:7" x14ac:dyDescent="0.25">
      <c r="A79" s="12" t="s">
        <v>98</v>
      </c>
      <c r="B79" s="315" t="s">
        <v>619</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626</v>
      </c>
      <c r="C81" s="315"/>
      <c r="D81" s="315"/>
      <c r="E81" s="315"/>
      <c r="F81" s="315"/>
      <c r="G81" s="26">
        <v>0</v>
      </c>
    </row>
    <row r="82" spans="1:7" x14ac:dyDescent="0.25">
      <c r="A82" s="27"/>
      <c r="B82" s="281" t="s">
        <v>54</v>
      </c>
      <c r="C82" s="282"/>
      <c r="D82" s="282"/>
      <c r="E82" s="282"/>
      <c r="F82" s="283"/>
      <c r="G82" s="22">
        <f>SUM(G76:G81)</f>
        <v>930.3</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657.6396166666666</v>
      </c>
    </row>
    <row r="89" spans="1:7" x14ac:dyDescent="0.25">
      <c r="A89" s="12" t="s">
        <v>135</v>
      </c>
      <c r="B89" s="278" t="s">
        <v>136</v>
      </c>
      <c r="C89" s="278"/>
      <c r="D89" s="278"/>
      <c r="E89" s="278"/>
      <c r="F89" s="278"/>
      <c r="G89" s="26">
        <f>G69</f>
        <v>1526.6791103111113</v>
      </c>
    </row>
    <row r="90" spans="1:7" x14ac:dyDescent="0.25">
      <c r="A90" s="12" t="s">
        <v>152</v>
      </c>
      <c r="B90" s="278" t="s">
        <v>153</v>
      </c>
      <c r="C90" s="278"/>
      <c r="D90" s="278"/>
      <c r="E90" s="278"/>
      <c r="F90" s="278"/>
      <c r="G90" s="26">
        <f>G82</f>
        <v>930.3</v>
      </c>
    </row>
    <row r="91" spans="1:7" x14ac:dyDescent="0.25">
      <c r="A91" s="45"/>
      <c r="B91" s="308" t="s">
        <v>54</v>
      </c>
      <c r="C91" s="309"/>
      <c r="D91" s="309"/>
      <c r="E91" s="309"/>
      <c r="F91" s="310"/>
      <c r="G91" s="22">
        <f>SUM(G88:G90)</f>
        <v>3114.6187269777784</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16.851552201499999</v>
      </c>
    </row>
    <row r="96" spans="1:7" ht="21" customHeight="1" x14ac:dyDescent="0.25">
      <c r="A96" s="9" t="s">
        <v>93</v>
      </c>
      <c r="B96" s="288" t="s">
        <v>163</v>
      </c>
      <c r="C96" s="289"/>
      <c r="D96" s="289"/>
      <c r="E96" s="290"/>
      <c r="F96" s="47">
        <f>F68*F95</f>
        <v>3.3360000000000003E-4</v>
      </c>
      <c r="G96" s="26">
        <f>F96*(G46+G54)</f>
        <v>1.34812417612</v>
      </c>
    </row>
    <row r="97" spans="1:7" ht="56.25" customHeight="1" x14ac:dyDescent="0.25">
      <c r="A97" s="12" t="s">
        <v>96</v>
      </c>
      <c r="B97" s="291" t="s">
        <v>601</v>
      </c>
      <c r="C97" s="289"/>
      <c r="D97" s="289"/>
      <c r="E97" s="290"/>
      <c r="F97" s="47">
        <f>40%*8%*90%*(1+8.33%+9.09%+3.03%)</f>
        <v>3.4689600000000001E-2</v>
      </c>
      <c r="G97" s="26">
        <f>F97*(G46+G54)</f>
        <v>140.18551684631998</v>
      </c>
    </row>
    <row r="98" spans="1:7" ht="48" customHeight="1" x14ac:dyDescent="0.25">
      <c r="A98" s="12" t="s">
        <v>98</v>
      </c>
      <c r="B98" s="288" t="s">
        <v>164</v>
      </c>
      <c r="C98" s="289"/>
      <c r="D98" s="289"/>
      <c r="E98" s="290"/>
      <c r="F98" s="47">
        <f>(7/30)/12</f>
        <v>1.9444444444444445E-2</v>
      </c>
      <c r="G98" s="26">
        <f>F98*(G46+G54)</f>
        <v>78.577714768518518</v>
      </c>
    </row>
    <row r="99" spans="1:7" ht="39" customHeight="1" x14ac:dyDescent="0.25">
      <c r="A99" s="13" t="s">
        <v>120</v>
      </c>
      <c r="B99" s="305" t="s">
        <v>215</v>
      </c>
      <c r="C99" s="306"/>
      <c r="D99" s="306"/>
      <c r="E99" s="307"/>
      <c r="F99" s="48">
        <f>F69*F98</f>
        <v>7.1555555555555565E-3</v>
      </c>
      <c r="G99" s="49">
        <f>F99*(G46+G54)</f>
        <v>28.916599034814816</v>
      </c>
    </row>
    <row r="100" spans="1:7" ht="29.25" customHeight="1" x14ac:dyDescent="0.25">
      <c r="A100" s="12" t="s">
        <v>122</v>
      </c>
      <c r="B100" s="288" t="s">
        <v>214</v>
      </c>
      <c r="C100" s="289"/>
      <c r="D100" s="289"/>
      <c r="E100" s="290"/>
      <c r="F100" s="31">
        <f>40%*F98</f>
        <v>7.7777777777777784E-3</v>
      </c>
      <c r="G100" s="26">
        <f>F100*G46</f>
        <v>26.316111111111113</v>
      </c>
    </row>
    <row r="101" spans="1:7" x14ac:dyDescent="0.25">
      <c r="A101" s="50"/>
      <c r="B101" s="300" t="s">
        <v>54</v>
      </c>
      <c r="C101" s="301"/>
      <c r="D101" s="301"/>
      <c r="E101" s="302"/>
      <c r="F101" s="51">
        <f>SUM(F95:F100)</f>
        <v>7.3570977777777768E-2</v>
      </c>
      <c r="G101" s="22">
        <f>SUM(G95:G100)</f>
        <v>292.19561813838442</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31.316172222222221</v>
      </c>
    </row>
    <row r="109" spans="1:7" x14ac:dyDescent="0.25">
      <c r="A109" s="12" t="s">
        <v>93</v>
      </c>
      <c r="B109" s="288" t="s">
        <v>171</v>
      </c>
      <c r="C109" s="289"/>
      <c r="D109" s="289"/>
      <c r="E109" s="289"/>
      <c r="F109" s="31">
        <f>(1/12)/30</f>
        <v>2.7777777777777775E-3</v>
      </c>
      <c r="G109" s="26">
        <f>F109*G46</f>
        <v>9.3986111111111104</v>
      </c>
    </row>
    <row r="110" spans="1:7" x14ac:dyDescent="0.25">
      <c r="A110" s="12" t="s">
        <v>96</v>
      </c>
      <c r="B110" s="288" t="s">
        <v>172</v>
      </c>
      <c r="C110" s="289"/>
      <c r="D110" s="289"/>
      <c r="E110" s="289"/>
      <c r="F110" s="55">
        <f>1.5%/12</f>
        <v>1.25E-3</v>
      </c>
      <c r="G110" s="26">
        <f>F110*G46</f>
        <v>4.2293750000000001</v>
      </c>
    </row>
    <row r="111" spans="1:7" ht="33" customHeight="1" x14ac:dyDescent="0.25">
      <c r="A111" s="12" t="s">
        <v>98</v>
      </c>
      <c r="B111" s="288" t="s">
        <v>173</v>
      </c>
      <c r="C111" s="289"/>
      <c r="D111" s="289"/>
      <c r="E111" s="289"/>
      <c r="F111" s="47">
        <f>8%/12/2</f>
        <v>3.3333333333333335E-3</v>
      </c>
      <c r="G111" s="26">
        <f>F111*G46</f>
        <v>11.278333333333334</v>
      </c>
    </row>
    <row r="112" spans="1:7" ht="28.5" customHeight="1" x14ac:dyDescent="0.25">
      <c r="A112" s="12" t="s">
        <v>120</v>
      </c>
      <c r="B112" s="288" t="s">
        <v>174</v>
      </c>
      <c r="C112" s="289"/>
      <c r="D112" s="289"/>
      <c r="E112" s="289"/>
      <c r="F112" s="56">
        <f>1.5%/12</f>
        <v>1.25E-3</v>
      </c>
      <c r="G112" s="26">
        <f>F112*G46</f>
        <v>4.2293750000000001</v>
      </c>
    </row>
    <row r="113" spans="1:7" x14ac:dyDescent="0.25">
      <c r="A113" s="12" t="s">
        <v>122</v>
      </c>
      <c r="B113" s="288" t="s">
        <v>175</v>
      </c>
      <c r="C113" s="289"/>
      <c r="D113" s="289"/>
      <c r="E113" s="289"/>
      <c r="F113" s="31">
        <f>(5/12)/30</f>
        <v>1.388888888888889E-2</v>
      </c>
      <c r="G113" s="26">
        <f>F113*G46</f>
        <v>46.993055555555557</v>
      </c>
    </row>
    <row r="114" spans="1:7" x14ac:dyDescent="0.25">
      <c r="A114" s="50"/>
      <c r="B114" s="281" t="s">
        <v>54</v>
      </c>
      <c r="C114" s="282"/>
      <c r="D114" s="282"/>
      <c r="E114" s="283"/>
      <c r="F114" s="57">
        <f>SUM(F108:F113)</f>
        <v>3.1755555555555558E-2</v>
      </c>
      <c r="G114" s="22">
        <f>SUM(G108:G113)</f>
        <v>107.44492222222222</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107.44492222222222</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107.44492222222222</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Categoria'!O11</f>
        <v>210.33097222222224</v>
      </c>
    </row>
    <row r="132" spans="1:7" x14ac:dyDescent="0.25">
      <c r="A132" s="12" t="s">
        <v>93</v>
      </c>
      <c r="B132" s="288" t="s">
        <v>220</v>
      </c>
      <c r="C132" s="289"/>
      <c r="D132" s="289"/>
      <c r="E132" s="289"/>
      <c r="F132" s="290"/>
      <c r="G132" s="66"/>
    </row>
    <row r="133" spans="1:7" x14ac:dyDescent="0.25">
      <c r="A133" s="40" t="s">
        <v>96</v>
      </c>
      <c r="B133" s="288" t="s">
        <v>279</v>
      </c>
      <c r="C133" s="289"/>
      <c r="D133" s="289"/>
      <c r="E133" s="289"/>
      <c r="F133" s="290"/>
      <c r="G133" s="66">
        <f>'Equips Ferr Básicos p Funcion'!H69</f>
        <v>0</v>
      </c>
    </row>
    <row r="134" spans="1:7"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210.33097222222224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186.22951197803036</v>
      </c>
    </row>
    <row r="141" spans="1:7" x14ac:dyDescent="0.25">
      <c r="A141" s="12" t="s">
        <v>93</v>
      </c>
      <c r="B141" s="278" t="s">
        <v>193</v>
      </c>
      <c r="C141" s="278"/>
      <c r="D141" s="278"/>
      <c r="E141" s="279">
        <v>0.05</v>
      </c>
      <c r="F141" s="280"/>
      <c r="G141" s="67">
        <f>(G47+G91+G101+G127+G135+G140)*E141</f>
        <v>195.54098757693188</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299.2664663138678</v>
      </c>
    </row>
    <row r="144" spans="1:7" x14ac:dyDescent="0.25">
      <c r="A144" s="71"/>
      <c r="B144" s="278" t="s">
        <v>196</v>
      </c>
      <c r="C144" s="278"/>
      <c r="D144" s="278"/>
      <c r="E144" s="279">
        <v>0.05</v>
      </c>
      <c r="F144" s="280"/>
      <c r="G144" s="67">
        <f>E144*G158</f>
        <v>409.9540634436546</v>
      </c>
    </row>
    <row r="145" spans="1:7" x14ac:dyDescent="0.25">
      <c r="A145" s="29"/>
      <c r="B145" s="281" t="s">
        <v>54</v>
      </c>
      <c r="C145" s="282"/>
      <c r="D145" s="283"/>
      <c r="E145" s="284">
        <f>E140+E141+E142</f>
        <v>0.1865</v>
      </c>
      <c r="F145" s="283"/>
      <c r="G145" s="72">
        <f>SUM(G140:G144)</f>
        <v>1090.9910293124847</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3383.5</v>
      </c>
    </row>
    <row r="152" spans="1:7" x14ac:dyDescent="0.25">
      <c r="A152" s="12" t="s">
        <v>93</v>
      </c>
      <c r="B152" s="260" t="s">
        <v>203</v>
      </c>
      <c r="C152" s="261"/>
      <c r="D152" s="261"/>
      <c r="E152" s="261"/>
      <c r="F152" s="262"/>
      <c r="G152" s="74">
        <f>G91</f>
        <v>3114.6187269777784</v>
      </c>
    </row>
    <row r="153" spans="1:7" x14ac:dyDescent="0.25">
      <c r="A153" s="12" t="s">
        <v>96</v>
      </c>
      <c r="B153" s="260" t="s">
        <v>204</v>
      </c>
      <c r="C153" s="261"/>
      <c r="D153" s="261"/>
      <c r="E153" s="261"/>
      <c r="F153" s="262"/>
      <c r="G153" s="74">
        <f>G101</f>
        <v>292.19561813838442</v>
      </c>
    </row>
    <row r="154" spans="1:7" x14ac:dyDescent="0.25">
      <c r="A154" s="12" t="s">
        <v>98</v>
      </c>
      <c r="B154" s="260" t="s">
        <v>205</v>
      </c>
      <c r="C154" s="261"/>
      <c r="D154" s="261"/>
      <c r="E154" s="261"/>
      <c r="F154" s="262"/>
      <c r="G154" s="74">
        <f>G127</f>
        <v>107.44492222222222</v>
      </c>
    </row>
    <row r="155" spans="1:7" x14ac:dyDescent="0.25">
      <c r="A155" s="12" t="s">
        <v>120</v>
      </c>
      <c r="B155" s="260" t="s">
        <v>206</v>
      </c>
      <c r="C155" s="261"/>
      <c r="D155" s="261"/>
      <c r="E155" s="261"/>
      <c r="F155" s="262"/>
      <c r="G155" s="74">
        <f>G135</f>
        <v>210.33097222222224</v>
      </c>
    </row>
    <row r="156" spans="1:7" x14ac:dyDescent="0.25">
      <c r="A156" s="75"/>
      <c r="B156" s="266" t="s">
        <v>207</v>
      </c>
      <c r="C156" s="267"/>
      <c r="D156" s="267"/>
      <c r="E156" s="267"/>
      <c r="F156" s="268"/>
      <c r="G156" s="74">
        <f>SUM(G151:G155)</f>
        <v>7108.0902395606072</v>
      </c>
    </row>
    <row r="157" spans="1:7" x14ac:dyDescent="0.25">
      <c r="A157" s="76" t="s">
        <v>122</v>
      </c>
      <c r="B157" s="260" t="s">
        <v>208</v>
      </c>
      <c r="C157" s="261"/>
      <c r="D157" s="261"/>
      <c r="E157" s="261"/>
      <c r="F157" s="262"/>
      <c r="G157" s="74">
        <f>G145</f>
        <v>1090.9910293124847</v>
      </c>
    </row>
    <row r="158" spans="1:7" x14ac:dyDescent="0.25">
      <c r="A158" s="77"/>
      <c r="B158" s="263" t="s">
        <v>209</v>
      </c>
      <c r="C158" s="264"/>
      <c r="D158" s="264"/>
      <c r="E158" s="264"/>
      <c r="F158" s="265"/>
      <c r="G158" s="78">
        <f>(G140+G141+G156)/(1-8.65/100)</f>
        <v>8199.0812688730912</v>
      </c>
    </row>
  </sheetData>
  <mergeCells count="166">
    <mergeCell ref="A7:G7"/>
    <mergeCell ref="A8:G8"/>
    <mergeCell ref="A9:G9"/>
    <mergeCell ref="A10:G10"/>
    <mergeCell ref="A11:G11"/>
    <mergeCell ref="A2:G2"/>
    <mergeCell ref="A3:G3"/>
    <mergeCell ref="A4:G4"/>
    <mergeCell ref="A5:G5"/>
    <mergeCell ref="A6:G6"/>
    <mergeCell ref="B18:E18"/>
    <mergeCell ref="F18:G18"/>
    <mergeCell ref="B19:E19"/>
    <mergeCell ref="F19:G19"/>
    <mergeCell ref="B20:E20"/>
    <mergeCell ref="F20:G20"/>
    <mergeCell ref="A13:G13"/>
    <mergeCell ref="A14:G14"/>
    <mergeCell ref="A15:G15"/>
    <mergeCell ref="A16:G16"/>
    <mergeCell ref="A17:G17"/>
    <mergeCell ref="A25:D25"/>
    <mergeCell ref="F25:G25"/>
    <mergeCell ref="A26:G26"/>
    <mergeCell ref="A27:G27"/>
    <mergeCell ref="A29:G29"/>
    <mergeCell ref="B21:E21"/>
    <mergeCell ref="F21:G21"/>
    <mergeCell ref="A23:G23"/>
    <mergeCell ref="A24:D24"/>
    <mergeCell ref="F24:G24"/>
    <mergeCell ref="B34:E34"/>
    <mergeCell ref="F34:G34"/>
    <mergeCell ref="B35:E35"/>
    <mergeCell ref="F35:G35"/>
    <mergeCell ref="B36:E36"/>
    <mergeCell ref="F36:G36"/>
    <mergeCell ref="A30:G30"/>
    <mergeCell ref="A31:G31"/>
    <mergeCell ref="B32:E32"/>
    <mergeCell ref="F32:G32"/>
    <mergeCell ref="B33:E33"/>
    <mergeCell ref="F33:G33"/>
    <mergeCell ref="B42:E42"/>
    <mergeCell ref="B43:E43"/>
    <mergeCell ref="B44:E44"/>
    <mergeCell ref="B45:E45"/>
    <mergeCell ref="B46:E46"/>
    <mergeCell ref="A37:G37"/>
    <mergeCell ref="B38:E38"/>
    <mergeCell ref="B39:E39"/>
    <mergeCell ref="B40:E40"/>
    <mergeCell ref="B41:E41"/>
    <mergeCell ref="B52:E52"/>
    <mergeCell ref="B53:E53"/>
    <mergeCell ref="B54:E54"/>
    <mergeCell ref="A55:G55"/>
    <mergeCell ref="A56:G56"/>
    <mergeCell ref="A47:G47"/>
    <mergeCell ref="A48:G48"/>
    <mergeCell ref="B49:E49"/>
    <mergeCell ref="A50:G50"/>
    <mergeCell ref="B51:F51"/>
    <mergeCell ref="B63:E63"/>
    <mergeCell ref="B64:E64"/>
    <mergeCell ref="B65:E65"/>
    <mergeCell ref="B66:E66"/>
    <mergeCell ref="B67:E67"/>
    <mergeCell ref="A57:G57"/>
    <mergeCell ref="A59:G59"/>
    <mergeCell ref="B60:E60"/>
    <mergeCell ref="B61:E61"/>
    <mergeCell ref="B62:E62"/>
    <mergeCell ref="A74:G74"/>
    <mergeCell ref="B75:F75"/>
    <mergeCell ref="B76:F76"/>
    <mergeCell ref="B77:F77"/>
    <mergeCell ref="B78:F78"/>
    <mergeCell ref="B68:E68"/>
    <mergeCell ref="B69:E69"/>
    <mergeCell ref="A70:G70"/>
    <mergeCell ref="A71:G71"/>
    <mergeCell ref="A72:G72"/>
    <mergeCell ref="A84:G84"/>
    <mergeCell ref="B86:F86"/>
    <mergeCell ref="B87:F87"/>
    <mergeCell ref="B88:F88"/>
    <mergeCell ref="B89:F89"/>
    <mergeCell ref="B79:F79"/>
    <mergeCell ref="B80:F80"/>
    <mergeCell ref="B81:F81"/>
    <mergeCell ref="B82:F82"/>
    <mergeCell ref="A83:G83"/>
    <mergeCell ref="B95:E95"/>
    <mergeCell ref="B96:E96"/>
    <mergeCell ref="B97:E97"/>
    <mergeCell ref="B98:E98"/>
    <mergeCell ref="B99:E99"/>
    <mergeCell ref="B90:F90"/>
    <mergeCell ref="B91:F91"/>
    <mergeCell ref="A92:G92"/>
    <mergeCell ref="B93:E93"/>
    <mergeCell ref="B94:E94"/>
    <mergeCell ref="A106:G106"/>
    <mergeCell ref="B107:E107"/>
    <mergeCell ref="B108:E108"/>
    <mergeCell ref="B109:E109"/>
    <mergeCell ref="B110:E110"/>
    <mergeCell ref="B100:E100"/>
    <mergeCell ref="B101:E101"/>
    <mergeCell ref="B103:E103"/>
    <mergeCell ref="A104:G104"/>
    <mergeCell ref="A105:G105"/>
    <mergeCell ref="A116:G116"/>
    <mergeCell ref="A117:G117"/>
    <mergeCell ref="B118:E118"/>
    <mergeCell ref="B119:E119"/>
    <mergeCell ref="B120:E120"/>
    <mergeCell ref="B111:E111"/>
    <mergeCell ref="B112:E112"/>
    <mergeCell ref="B113:E113"/>
    <mergeCell ref="B114:E114"/>
    <mergeCell ref="A115:G115"/>
    <mergeCell ref="B126:E126"/>
    <mergeCell ref="B127:E127"/>
    <mergeCell ref="B129:F129"/>
    <mergeCell ref="B130:F130"/>
    <mergeCell ref="B131:F131"/>
    <mergeCell ref="A121:G121"/>
    <mergeCell ref="A122:G122"/>
    <mergeCell ref="B123:F123"/>
    <mergeCell ref="B124:E124"/>
    <mergeCell ref="B125:E125"/>
    <mergeCell ref="B138:F138"/>
    <mergeCell ref="B139:D139"/>
    <mergeCell ref="E139:F139"/>
    <mergeCell ref="B140:D140"/>
    <mergeCell ref="E140:F140"/>
    <mergeCell ref="B132:F132"/>
    <mergeCell ref="B133:F133"/>
    <mergeCell ref="B134:F134"/>
    <mergeCell ref="B135:F135"/>
    <mergeCell ref="A136:G136"/>
    <mergeCell ref="B144:D144"/>
    <mergeCell ref="E144:F144"/>
    <mergeCell ref="B145:D145"/>
    <mergeCell ref="E145:F145"/>
    <mergeCell ref="A146:G146"/>
    <mergeCell ref="B141:D141"/>
    <mergeCell ref="E141:F141"/>
    <mergeCell ref="B142:D142"/>
    <mergeCell ref="E142:F142"/>
    <mergeCell ref="B143:D143"/>
    <mergeCell ref="E143:F143"/>
    <mergeCell ref="B157:F157"/>
    <mergeCell ref="B158:F158"/>
    <mergeCell ref="B152:F152"/>
    <mergeCell ref="B153:F153"/>
    <mergeCell ref="B154:F154"/>
    <mergeCell ref="B155:F155"/>
    <mergeCell ref="B156:F15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151"/>
  <sheetViews>
    <sheetView topLeftCell="A96" zoomScale="90" zoomScaleNormal="90" zoomScaleSheetLayoutView="100" workbookViewId="0">
      <selection activeCell="D159" sqref="D159"/>
    </sheetView>
  </sheetViews>
  <sheetFormatPr defaultRowHeight="15" x14ac:dyDescent="0.25"/>
  <cols>
    <col min="1" max="1" width="6.140625" style="86" customWidth="1"/>
    <col min="2" max="2" width="43.7109375" customWidth="1"/>
    <col min="4" max="4" width="10.42578125" bestFit="1" customWidth="1"/>
    <col min="5" max="5" width="13.5703125" customWidth="1"/>
    <col min="6" max="6" width="15" customWidth="1"/>
    <col min="7" max="7" width="14.5703125" customWidth="1"/>
    <col min="8" max="8" width="13.42578125" customWidth="1"/>
    <col min="9" max="9" width="10.140625" customWidth="1"/>
    <col min="10" max="12" width="12.5703125" customWidth="1"/>
    <col min="13" max="13" width="11.140625" bestFit="1" customWidth="1"/>
    <col min="14" max="14" width="15" bestFit="1" customWidth="1"/>
  </cols>
  <sheetData>
    <row r="1" spans="1:19" x14ac:dyDescent="0.25">
      <c r="A1" s="528" t="s">
        <v>0</v>
      </c>
      <c r="B1" s="528"/>
      <c r="C1" s="528"/>
      <c r="D1" s="528"/>
      <c r="E1" s="179"/>
      <c r="F1" s="179"/>
      <c r="G1" s="179"/>
      <c r="H1" s="179"/>
      <c r="I1" s="2"/>
      <c r="J1" s="2"/>
      <c r="K1" s="2"/>
      <c r="L1" s="2"/>
      <c r="M1" s="83"/>
      <c r="N1" s="83"/>
      <c r="O1" s="83"/>
      <c r="P1" s="83"/>
      <c r="Q1" s="83"/>
      <c r="R1" s="83"/>
      <c r="S1" s="83"/>
    </row>
    <row r="2" spans="1:19" x14ac:dyDescent="0.25">
      <c r="A2" s="529" t="s">
        <v>1</v>
      </c>
      <c r="B2" s="529"/>
      <c r="C2" s="529"/>
      <c r="D2" s="529"/>
      <c r="E2" s="180"/>
      <c r="F2" s="180"/>
      <c r="G2" s="180"/>
      <c r="H2" s="180"/>
      <c r="I2" s="2"/>
      <c r="J2" s="2"/>
      <c r="K2" s="2"/>
      <c r="L2" s="2"/>
      <c r="M2" s="83"/>
      <c r="N2" s="83"/>
      <c r="O2" s="83"/>
      <c r="P2" s="83"/>
      <c r="Q2" s="83"/>
      <c r="R2" s="83"/>
      <c r="S2" s="83"/>
    </row>
    <row r="3" spans="1:19" x14ac:dyDescent="0.25">
      <c r="A3" s="529" t="s">
        <v>2</v>
      </c>
      <c r="B3" s="529"/>
      <c r="C3" s="529"/>
      <c r="D3" s="529"/>
      <c r="E3" s="529"/>
      <c r="F3" s="529"/>
      <c r="G3" s="529"/>
      <c r="H3" s="529"/>
      <c r="I3" s="529"/>
      <c r="J3" s="529"/>
      <c r="K3" s="180"/>
      <c r="L3" s="180"/>
      <c r="M3" s="83"/>
      <c r="N3" s="83"/>
      <c r="O3" s="83"/>
      <c r="P3" s="83"/>
      <c r="Q3" s="83"/>
      <c r="R3" s="83"/>
      <c r="S3" s="83"/>
    </row>
    <row r="4" spans="1:19" x14ac:dyDescent="0.25">
      <c r="A4" s="530" t="s">
        <v>3</v>
      </c>
      <c r="B4" s="530"/>
      <c r="C4" s="530"/>
      <c r="D4" s="530"/>
      <c r="E4" s="530"/>
      <c r="F4" s="530"/>
      <c r="G4" s="530"/>
      <c r="H4" s="530"/>
      <c r="I4" s="530"/>
      <c r="J4" s="2"/>
      <c r="K4" s="2"/>
      <c r="L4" s="2"/>
      <c r="M4" s="83"/>
      <c r="N4" s="83"/>
      <c r="O4" s="83"/>
      <c r="P4" s="83"/>
      <c r="Q4" s="83"/>
      <c r="R4" s="83"/>
      <c r="S4" s="83"/>
    </row>
    <row r="5" spans="1:19" x14ac:dyDescent="0.25">
      <c r="A5" s="530" t="s">
        <v>4</v>
      </c>
      <c r="B5" s="530"/>
      <c r="C5" s="530"/>
      <c r="D5" s="530"/>
      <c r="E5" s="181"/>
      <c r="F5" s="181"/>
      <c r="G5" s="181"/>
      <c r="H5" s="181"/>
      <c r="I5" s="2"/>
      <c r="J5" s="2"/>
      <c r="K5" s="2"/>
      <c r="L5" s="2"/>
      <c r="M5" s="83"/>
      <c r="N5" s="83"/>
      <c r="O5" s="83"/>
      <c r="P5" s="83"/>
      <c r="Q5" s="83"/>
      <c r="R5" s="83"/>
      <c r="S5" s="83"/>
    </row>
    <row r="6" spans="1:19" ht="15.75" thickBot="1" x14ac:dyDescent="0.3">
      <c r="A6" s="527"/>
      <c r="B6" s="527"/>
      <c r="C6" s="527"/>
      <c r="D6" s="527"/>
      <c r="E6" s="527"/>
      <c r="F6" s="527"/>
      <c r="G6" s="527"/>
      <c r="H6" s="527"/>
      <c r="I6" s="527"/>
      <c r="J6" s="527"/>
      <c r="K6" s="94"/>
      <c r="L6" s="94"/>
      <c r="M6" s="83"/>
      <c r="N6" s="83"/>
      <c r="O6" s="83"/>
      <c r="P6" s="83"/>
      <c r="Q6" s="83"/>
      <c r="R6" s="83"/>
      <c r="S6" s="83"/>
    </row>
    <row r="7" spans="1:19" ht="47.25" customHeight="1" x14ac:dyDescent="0.25">
      <c r="A7" s="524" t="s">
        <v>522</v>
      </c>
      <c r="B7" s="525"/>
      <c r="C7" s="525"/>
      <c r="D7" s="525"/>
      <c r="E7" s="525"/>
      <c r="F7" s="525"/>
      <c r="G7" s="525"/>
      <c r="H7" s="525"/>
      <c r="I7" s="525"/>
      <c r="J7" s="525"/>
      <c r="K7" s="525"/>
      <c r="L7" s="525"/>
      <c r="M7" s="525"/>
      <c r="N7" s="526"/>
      <c r="O7" s="83"/>
      <c r="P7" s="83"/>
      <c r="Q7" s="83"/>
      <c r="R7" s="83"/>
      <c r="S7" s="83"/>
    </row>
    <row r="8" spans="1:19" ht="14.45" customHeight="1" x14ac:dyDescent="0.25">
      <c r="A8" s="550" t="s">
        <v>497</v>
      </c>
      <c r="B8" s="551"/>
      <c r="C8" s="551"/>
      <c r="D8" s="551"/>
      <c r="E8" s="551"/>
      <c r="F8" s="551"/>
      <c r="G8" s="551"/>
      <c r="H8" s="551"/>
      <c r="I8" s="551"/>
      <c r="J8" s="551"/>
      <c r="K8" s="551"/>
      <c r="L8" s="551"/>
      <c r="M8" s="539" t="s">
        <v>550</v>
      </c>
      <c r="N8" s="540"/>
      <c r="O8" s="83"/>
      <c r="P8" s="83"/>
      <c r="Q8" s="83"/>
      <c r="R8" s="83"/>
      <c r="S8" s="83"/>
    </row>
    <row r="9" spans="1:19" ht="49.5" customHeight="1" x14ac:dyDescent="0.25">
      <c r="A9" s="550"/>
      <c r="B9" s="551"/>
      <c r="C9" s="551"/>
      <c r="D9" s="551"/>
      <c r="E9" s="241" t="s">
        <v>575</v>
      </c>
      <c r="F9" s="241" t="s">
        <v>573</v>
      </c>
      <c r="G9" s="241" t="s">
        <v>544</v>
      </c>
      <c r="H9" s="241" t="s">
        <v>549</v>
      </c>
      <c r="I9" s="549" t="s">
        <v>543</v>
      </c>
      <c r="J9" s="549"/>
      <c r="K9" s="549" t="s">
        <v>552</v>
      </c>
      <c r="L9" s="549"/>
      <c r="M9" s="539"/>
      <c r="N9" s="540"/>
      <c r="O9" s="83"/>
      <c r="P9" s="83"/>
      <c r="Q9" s="83"/>
      <c r="R9" s="83"/>
      <c r="S9" s="83"/>
    </row>
    <row r="10" spans="1:19" x14ac:dyDescent="0.25">
      <c r="A10" s="537" t="s">
        <v>5</v>
      </c>
      <c r="B10" s="532" t="s">
        <v>53</v>
      </c>
      <c r="C10" s="532" t="s">
        <v>7</v>
      </c>
      <c r="D10" s="532" t="s">
        <v>385</v>
      </c>
      <c r="E10" s="240" t="s">
        <v>9</v>
      </c>
      <c r="F10" s="240" t="s">
        <v>9</v>
      </c>
      <c r="G10" s="240" t="s">
        <v>9</v>
      </c>
      <c r="H10" s="240" t="s">
        <v>9</v>
      </c>
      <c r="I10" s="532" t="s">
        <v>9</v>
      </c>
      <c r="J10" s="532"/>
      <c r="K10" s="532" t="s">
        <v>9</v>
      </c>
      <c r="L10" s="532"/>
      <c r="M10" s="532" t="s">
        <v>9</v>
      </c>
      <c r="N10" s="541"/>
      <c r="O10" s="83"/>
      <c r="P10" s="83"/>
      <c r="Q10" s="83"/>
      <c r="R10" s="83"/>
      <c r="S10" s="83"/>
    </row>
    <row r="11" spans="1:19" ht="15.75" thickBot="1" x14ac:dyDescent="0.3">
      <c r="A11" s="538"/>
      <c r="B11" s="533"/>
      <c r="C11" s="533"/>
      <c r="D11" s="533"/>
      <c r="E11" s="244" t="s">
        <v>35</v>
      </c>
      <c r="F11" s="244" t="s">
        <v>35</v>
      </c>
      <c r="G11" s="244" t="s">
        <v>35</v>
      </c>
      <c r="H11" s="244" t="s">
        <v>35</v>
      </c>
      <c r="I11" s="244" t="s">
        <v>35</v>
      </c>
      <c r="J11" s="244" t="s">
        <v>41</v>
      </c>
      <c r="K11" s="244" t="s">
        <v>35</v>
      </c>
      <c r="L11" s="244" t="s">
        <v>41</v>
      </c>
      <c r="M11" s="244" t="s">
        <v>35</v>
      </c>
      <c r="N11" s="245" t="s">
        <v>41</v>
      </c>
      <c r="O11" s="83"/>
      <c r="P11" s="83"/>
      <c r="Q11" s="83"/>
      <c r="R11" s="83"/>
      <c r="S11" s="83"/>
    </row>
    <row r="12" spans="1:19" x14ac:dyDescent="0.25">
      <c r="A12" s="242"/>
      <c r="B12" s="238" t="s">
        <v>496</v>
      </c>
      <c r="C12" s="236"/>
      <c r="D12" s="236"/>
      <c r="E12" s="193"/>
      <c r="F12" s="193"/>
      <c r="G12" s="193"/>
      <c r="H12" s="193"/>
      <c r="J12" s="237"/>
      <c r="K12" s="237"/>
      <c r="L12" s="237"/>
      <c r="M12" s="243"/>
      <c r="N12" s="243"/>
      <c r="O12" s="83"/>
      <c r="P12" s="83"/>
      <c r="Q12" s="83"/>
      <c r="R12" s="83"/>
      <c r="S12" s="83"/>
    </row>
    <row r="13" spans="1:19" ht="97.5" customHeight="1" x14ac:dyDescent="0.25">
      <c r="A13" s="160">
        <v>1</v>
      </c>
      <c r="B13" s="84" t="s">
        <v>386</v>
      </c>
      <c r="C13" s="1" t="s">
        <v>55</v>
      </c>
      <c r="D13" s="155">
        <v>3456</v>
      </c>
      <c r="E13" s="194">
        <v>10.42</v>
      </c>
      <c r="F13" s="194">
        <v>14.99</v>
      </c>
      <c r="G13" s="194">
        <v>1.99</v>
      </c>
      <c r="H13" s="194">
        <v>4.9000000000000004</v>
      </c>
      <c r="I13" s="220">
        <v>2.5</v>
      </c>
      <c r="J13" s="221">
        <f t="shared" ref="J13:J44" si="0">I13*D13</f>
        <v>8640</v>
      </c>
      <c r="K13" s="221">
        <v>5.6</v>
      </c>
      <c r="L13" s="221">
        <f t="shared" ref="L13:L44" si="1">K13*D13</f>
        <v>19353.599999999999</v>
      </c>
      <c r="M13" s="206">
        <f>AVERAGE(G13,H13,I13)</f>
        <v>3.1300000000000003</v>
      </c>
      <c r="N13" s="206">
        <f t="shared" ref="N13:N44" si="2">M13*D13</f>
        <v>10817.28</v>
      </c>
      <c r="O13" s="83"/>
      <c r="P13" s="83"/>
      <c r="Q13" s="83"/>
      <c r="R13" s="83"/>
      <c r="S13" s="83"/>
    </row>
    <row r="14" spans="1:19" ht="46.5" customHeight="1" x14ac:dyDescent="0.25">
      <c r="A14" s="160">
        <v>2</v>
      </c>
      <c r="B14" s="84" t="s">
        <v>387</v>
      </c>
      <c r="C14" s="1" t="s">
        <v>56</v>
      </c>
      <c r="D14" s="155">
        <v>3600</v>
      </c>
      <c r="E14" s="194"/>
      <c r="F14" s="194"/>
      <c r="G14" s="194">
        <v>6.6</v>
      </c>
      <c r="H14" s="194">
        <v>15.9</v>
      </c>
      <c r="I14" s="220">
        <v>8.9</v>
      </c>
      <c r="J14" s="221">
        <f t="shared" si="0"/>
        <v>32040</v>
      </c>
      <c r="K14" s="221">
        <v>6.9</v>
      </c>
      <c r="L14" s="221">
        <f t="shared" si="1"/>
        <v>24840</v>
      </c>
      <c r="M14" s="206">
        <f>AVERAGE(G14,I14,K14)</f>
        <v>7.4666666666666659</v>
      </c>
      <c r="N14" s="206">
        <f t="shared" si="2"/>
        <v>26879.999999999996</v>
      </c>
      <c r="O14" s="83"/>
      <c r="P14" s="83"/>
      <c r="Q14" s="83"/>
      <c r="R14" s="83"/>
      <c r="S14" s="83"/>
    </row>
    <row r="15" spans="1:19" ht="118.5" customHeight="1" x14ac:dyDescent="0.25">
      <c r="A15" s="160">
        <v>3</v>
      </c>
      <c r="B15" s="5" t="s">
        <v>388</v>
      </c>
      <c r="C15" s="1" t="s">
        <v>56</v>
      </c>
      <c r="D15" s="155">
        <v>864</v>
      </c>
      <c r="E15" s="194"/>
      <c r="F15" s="194"/>
      <c r="G15" s="194"/>
      <c r="H15" s="194">
        <v>36.9</v>
      </c>
      <c r="I15" s="220">
        <v>8.5</v>
      </c>
      <c r="J15" s="221">
        <f t="shared" si="0"/>
        <v>7344</v>
      </c>
      <c r="K15" s="221">
        <v>9.9</v>
      </c>
      <c r="L15" s="221">
        <f t="shared" si="1"/>
        <v>8553.6</v>
      </c>
      <c r="M15" s="206">
        <f>AVERAGE(I15,K15)</f>
        <v>9.1999999999999993</v>
      </c>
      <c r="N15" s="206">
        <f t="shared" si="2"/>
        <v>7948.7999999999993</v>
      </c>
      <c r="O15" s="83"/>
      <c r="P15" s="83"/>
      <c r="Q15" s="83"/>
      <c r="R15" s="83"/>
      <c r="S15" s="83"/>
    </row>
    <row r="16" spans="1:19" ht="104.1" customHeight="1" x14ac:dyDescent="0.25">
      <c r="A16" s="160">
        <v>4</v>
      </c>
      <c r="B16" s="84" t="s">
        <v>389</v>
      </c>
      <c r="C16" s="1" t="s">
        <v>55</v>
      </c>
      <c r="D16" s="155">
        <v>3456</v>
      </c>
      <c r="E16" s="194"/>
      <c r="F16" s="194"/>
      <c r="G16" s="194">
        <v>6.6</v>
      </c>
      <c r="H16" s="194">
        <v>7.69</v>
      </c>
      <c r="I16" s="220">
        <v>6.99</v>
      </c>
      <c r="J16" s="221">
        <f t="shared" si="0"/>
        <v>24157.440000000002</v>
      </c>
      <c r="K16" s="221">
        <v>4.9000000000000004</v>
      </c>
      <c r="L16" s="221">
        <f t="shared" si="1"/>
        <v>16934.400000000001</v>
      </c>
      <c r="M16" s="206">
        <f>AVERAGE(G16,H16,I16)</f>
        <v>7.0933333333333337</v>
      </c>
      <c r="N16" s="206">
        <f t="shared" si="2"/>
        <v>24514.560000000001</v>
      </c>
      <c r="O16" s="83"/>
      <c r="P16" s="83"/>
      <c r="Q16" s="83"/>
      <c r="R16" s="83"/>
      <c r="S16" s="83"/>
    </row>
    <row r="17" spans="1:19" ht="45" customHeight="1" x14ac:dyDescent="0.25">
      <c r="A17" s="160">
        <v>5</v>
      </c>
      <c r="B17" s="84" t="s">
        <v>390</v>
      </c>
      <c r="C17" s="1" t="s">
        <v>56</v>
      </c>
      <c r="D17" s="155">
        <v>360</v>
      </c>
      <c r="E17" s="194"/>
      <c r="F17" s="194">
        <v>11.68</v>
      </c>
      <c r="G17" s="194">
        <v>10.6</v>
      </c>
      <c r="H17" s="194">
        <v>20.9</v>
      </c>
      <c r="I17" s="220">
        <v>10.9</v>
      </c>
      <c r="J17" s="221">
        <f t="shared" si="0"/>
        <v>3924</v>
      </c>
      <c r="K17" s="221">
        <v>7.18</v>
      </c>
      <c r="L17" s="221">
        <f t="shared" si="1"/>
        <v>2584.7999999999997</v>
      </c>
      <c r="M17" s="206">
        <f>AVERAGE(F17,G17,I17)</f>
        <v>11.06</v>
      </c>
      <c r="N17" s="206">
        <f t="shared" si="2"/>
        <v>3981.6000000000004</v>
      </c>
      <c r="O17" s="83"/>
      <c r="P17" s="83"/>
      <c r="Q17" s="83"/>
      <c r="R17" s="83"/>
      <c r="S17" s="83"/>
    </row>
    <row r="18" spans="1:19" ht="59.1" customHeight="1" x14ac:dyDescent="0.25">
      <c r="A18" s="160">
        <v>6</v>
      </c>
      <c r="B18" s="84" t="s">
        <v>391</v>
      </c>
      <c r="C18" s="1" t="s">
        <v>56</v>
      </c>
      <c r="D18" s="155">
        <v>432</v>
      </c>
      <c r="E18" s="194"/>
      <c r="F18" s="194"/>
      <c r="G18" s="194"/>
      <c r="H18" s="194">
        <v>49.9</v>
      </c>
      <c r="I18" s="220">
        <v>16.899999999999999</v>
      </c>
      <c r="J18" s="221">
        <f t="shared" si="0"/>
        <v>7300.7999999999993</v>
      </c>
      <c r="K18" s="221">
        <v>45</v>
      </c>
      <c r="L18" s="221">
        <f t="shared" si="1"/>
        <v>19440</v>
      </c>
      <c r="M18" s="206">
        <f>AVERAGE(H18,K18)</f>
        <v>47.45</v>
      </c>
      <c r="N18" s="206">
        <f t="shared" si="2"/>
        <v>20498.400000000001</v>
      </c>
      <c r="O18" s="83"/>
      <c r="P18" s="83"/>
      <c r="Q18" s="83"/>
      <c r="R18" s="83"/>
      <c r="S18" s="83"/>
    </row>
    <row r="19" spans="1:19" ht="132.6" customHeight="1" x14ac:dyDescent="0.25">
      <c r="A19" s="160">
        <v>7</v>
      </c>
      <c r="B19" s="84" t="s">
        <v>392</v>
      </c>
      <c r="C19" s="84" t="s">
        <v>57</v>
      </c>
      <c r="D19" s="155">
        <v>1440</v>
      </c>
      <c r="E19" s="194"/>
      <c r="F19" s="194"/>
      <c r="G19" s="194"/>
      <c r="H19" s="194">
        <v>55.9</v>
      </c>
      <c r="I19" s="220">
        <v>49.9</v>
      </c>
      <c r="J19" s="221">
        <f t="shared" si="0"/>
        <v>71856</v>
      </c>
      <c r="K19" s="221">
        <v>136.5</v>
      </c>
      <c r="L19" s="221">
        <f t="shared" si="1"/>
        <v>196560</v>
      </c>
      <c r="M19" s="206">
        <f>AVERAGE(I19,H19)</f>
        <v>52.9</v>
      </c>
      <c r="N19" s="206">
        <f t="shared" si="2"/>
        <v>76176</v>
      </c>
      <c r="O19" s="83"/>
      <c r="P19" s="83"/>
      <c r="Q19" s="83"/>
      <c r="R19" s="83"/>
      <c r="S19" s="83"/>
    </row>
    <row r="20" spans="1:19" ht="114.6" customHeight="1" x14ac:dyDescent="0.25">
      <c r="A20" s="160">
        <v>8</v>
      </c>
      <c r="B20" s="84" t="s">
        <v>393</v>
      </c>
      <c r="C20" s="84" t="s">
        <v>57</v>
      </c>
      <c r="D20" s="155">
        <v>360</v>
      </c>
      <c r="E20" s="194"/>
      <c r="F20" s="194"/>
      <c r="G20" s="194"/>
      <c r="H20" s="194">
        <v>99.9</v>
      </c>
      <c r="I20" s="220">
        <v>75.900000000000006</v>
      </c>
      <c r="J20" s="221">
        <f t="shared" si="0"/>
        <v>27324.000000000004</v>
      </c>
      <c r="K20" s="221">
        <v>60</v>
      </c>
      <c r="L20" s="221">
        <f t="shared" si="1"/>
        <v>21600</v>
      </c>
      <c r="M20" s="206">
        <f>AVERAGE(I20,K20)</f>
        <v>67.95</v>
      </c>
      <c r="N20" s="206">
        <f t="shared" si="2"/>
        <v>24462</v>
      </c>
      <c r="O20" s="83"/>
      <c r="P20" s="83"/>
      <c r="Q20" s="83"/>
      <c r="R20" s="83"/>
      <c r="S20" s="83"/>
    </row>
    <row r="21" spans="1:19" ht="31.5" customHeight="1" x14ac:dyDescent="0.25">
      <c r="A21" s="160">
        <v>9</v>
      </c>
      <c r="B21" s="84" t="s">
        <v>394</v>
      </c>
      <c r="C21" s="1" t="s">
        <v>56</v>
      </c>
      <c r="D21" s="155">
        <v>360</v>
      </c>
      <c r="E21" s="194"/>
      <c r="F21" s="194"/>
      <c r="G21" s="194"/>
      <c r="H21" s="194">
        <v>38.9</v>
      </c>
      <c r="I21" s="220">
        <v>9.9</v>
      </c>
      <c r="J21" s="221">
        <f t="shared" si="0"/>
        <v>3564</v>
      </c>
      <c r="K21" s="221">
        <v>20</v>
      </c>
      <c r="L21" s="221">
        <f t="shared" si="1"/>
        <v>7200</v>
      </c>
      <c r="M21" s="206">
        <f>AVERAGE(H21,K21)</f>
        <v>29.45</v>
      </c>
      <c r="N21" s="206">
        <f t="shared" si="2"/>
        <v>10602</v>
      </c>
      <c r="O21" s="83"/>
      <c r="P21" s="83"/>
      <c r="Q21" s="83"/>
      <c r="R21" s="83"/>
      <c r="S21" s="83"/>
    </row>
    <row r="22" spans="1:19" ht="21.6" customHeight="1" x14ac:dyDescent="0.25">
      <c r="A22" s="160">
        <v>10</v>
      </c>
      <c r="B22" s="84" t="s">
        <v>58</v>
      </c>
      <c r="C22" s="1" t="s">
        <v>56</v>
      </c>
      <c r="D22" s="155">
        <v>180</v>
      </c>
      <c r="E22" s="194">
        <v>8.77</v>
      </c>
      <c r="F22" s="194">
        <v>47.72</v>
      </c>
      <c r="G22" s="194"/>
      <c r="H22" s="194">
        <v>15.14</v>
      </c>
      <c r="I22" s="220">
        <v>9.5</v>
      </c>
      <c r="J22" s="221">
        <f t="shared" si="0"/>
        <v>1710</v>
      </c>
      <c r="K22" s="221">
        <v>4.9000000000000004</v>
      </c>
      <c r="L22" s="221">
        <f t="shared" si="1"/>
        <v>882.00000000000011</v>
      </c>
      <c r="M22" s="206">
        <f>AVERAGE(E22,I22,K22)</f>
        <v>7.7233333333333336</v>
      </c>
      <c r="N22" s="206">
        <f t="shared" si="2"/>
        <v>1390.2</v>
      </c>
      <c r="O22" s="83"/>
      <c r="P22" s="83"/>
      <c r="Q22" s="83"/>
      <c r="R22" s="83"/>
      <c r="S22" s="83"/>
    </row>
    <row r="23" spans="1:19" ht="107.45" customHeight="1" x14ac:dyDescent="0.25">
      <c r="A23" s="160">
        <v>11</v>
      </c>
      <c r="B23" s="84" t="s">
        <v>395</v>
      </c>
      <c r="C23" s="84" t="s">
        <v>57</v>
      </c>
      <c r="D23" s="155">
        <v>540</v>
      </c>
      <c r="E23" s="194"/>
      <c r="F23" s="194">
        <v>19.559999999999999</v>
      </c>
      <c r="G23" s="194">
        <v>18.75</v>
      </c>
      <c r="H23" s="239">
        <v>23.99</v>
      </c>
      <c r="I23" s="220">
        <v>19.899999999999999</v>
      </c>
      <c r="J23" s="221">
        <f t="shared" si="0"/>
        <v>10746</v>
      </c>
      <c r="K23" s="221">
        <v>12</v>
      </c>
      <c r="L23" s="221">
        <f t="shared" si="1"/>
        <v>6480</v>
      </c>
      <c r="M23" s="206">
        <f>AVERAGE(F23,G23,I23,K23)</f>
        <v>17.552500000000002</v>
      </c>
      <c r="N23" s="206">
        <f t="shared" si="2"/>
        <v>9478.35</v>
      </c>
      <c r="O23" s="83"/>
      <c r="P23" s="83"/>
      <c r="Q23" s="83"/>
      <c r="R23" s="83"/>
      <c r="S23" s="83"/>
    </row>
    <row r="24" spans="1:19" ht="66.95" customHeight="1" x14ac:dyDescent="0.25">
      <c r="A24" s="160">
        <v>12</v>
      </c>
      <c r="B24" s="156" t="s">
        <v>396</v>
      </c>
      <c r="C24" s="1" t="s">
        <v>56</v>
      </c>
      <c r="D24" s="155">
        <v>1728</v>
      </c>
      <c r="E24" s="194"/>
      <c r="F24" s="194"/>
      <c r="G24" s="194">
        <v>8.8000000000000007</v>
      </c>
      <c r="H24" s="194">
        <v>19.75</v>
      </c>
      <c r="I24" s="220">
        <v>10.5</v>
      </c>
      <c r="J24" s="221">
        <f t="shared" si="0"/>
        <v>18144</v>
      </c>
      <c r="K24" s="221">
        <v>6.3</v>
      </c>
      <c r="L24" s="221">
        <f t="shared" si="1"/>
        <v>10886.4</v>
      </c>
      <c r="M24" s="206">
        <f>AVERAGE(G24,I24,K24)</f>
        <v>8.5333333333333332</v>
      </c>
      <c r="N24" s="206">
        <f t="shared" si="2"/>
        <v>14745.6</v>
      </c>
      <c r="O24" s="83"/>
      <c r="P24" s="83"/>
      <c r="Q24" s="83"/>
      <c r="R24" s="83"/>
      <c r="S24" s="83"/>
    </row>
    <row r="25" spans="1:19" ht="92.45" customHeight="1" x14ac:dyDescent="0.25">
      <c r="A25" s="160">
        <v>13</v>
      </c>
      <c r="B25" s="84" t="s">
        <v>397</v>
      </c>
      <c r="C25" s="84" t="s">
        <v>57</v>
      </c>
      <c r="D25" s="155">
        <v>96</v>
      </c>
      <c r="E25" s="194">
        <v>23.68</v>
      </c>
      <c r="F25" s="194">
        <v>21.41</v>
      </c>
      <c r="G25" s="194">
        <v>18.45</v>
      </c>
      <c r="H25" s="194"/>
      <c r="I25" s="220">
        <v>28.9</v>
      </c>
      <c r="J25" s="221">
        <f t="shared" si="0"/>
        <v>2774.3999999999996</v>
      </c>
      <c r="K25" s="221">
        <v>38.5</v>
      </c>
      <c r="L25" s="221">
        <f t="shared" si="1"/>
        <v>3696</v>
      </c>
      <c r="M25" s="206">
        <f>AVERAGE(E25,F25,I25)</f>
        <v>24.663333333333338</v>
      </c>
      <c r="N25" s="206">
        <f t="shared" si="2"/>
        <v>2367.6800000000003</v>
      </c>
      <c r="O25" s="83"/>
      <c r="P25" s="83"/>
      <c r="Q25" s="83"/>
      <c r="R25" s="83"/>
      <c r="S25" s="83"/>
    </row>
    <row r="26" spans="1:19" ht="128.1" customHeight="1" x14ac:dyDescent="0.25">
      <c r="A26" s="160">
        <v>14</v>
      </c>
      <c r="B26" s="84" t="s">
        <v>494</v>
      </c>
      <c r="C26" s="84" t="s">
        <v>57</v>
      </c>
      <c r="D26" s="155">
        <v>144</v>
      </c>
      <c r="E26" s="194">
        <v>23.68</v>
      </c>
      <c r="F26" s="239"/>
      <c r="G26" s="194"/>
      <c r="H26" s="194"/>
      <c r="I26" s="220">
        <v>38.9</v>
      </c>
      <c r="J26" s="221">
        <f t="shared" si="0"/>
        <v>5601.5999999999995</v>
      </c>
      <c r="K26" s="221">
        <v>38.5</v>
      </c>
      <c r="L26" s="221">
        <f t="shared" si="1"/>
        <v>5544</v>
      </c>
      <c r="M26" s="206">
        <f>AVERAGE(K26,I26)</f>
        <v>38.700000000000003</v>
      </c>
      <c r="N26" s="206">
        <f t="shared" si="2"/>
        <v>5572.8</v>
      </c>
      <c r="O26" s="83"/>
      <c r="P26" s="83"/>
      <c r="Q26" s="83"/>
      <c r="R26" s="83"/>
      <c r="S26" s="83"/>
    </row>
    <row r="27" spans="1:19" ht="105.6" customHeight="1" x14ac:dyDescent="0.25">
      <c r="A27" s="160">
        <v>15</v>
      </c>
      <c r="B27" s="84" t="s">
        <v>398</v>
      </c>
      <c r="C27" s="84" t="s">
        <v>57</v>
      </c>
      <c r="D27" s="155">
        <v>360</v>
      </c>
      <c r="E27" s="194">
        <v>23.68</v>
      </c>
      <c r="F27" s="194"/>
      <c r="G27" s="194"/>
      <c r="H27" s="194">
        <v>42.9</v>
      </c>
      <c r="I27" s="220">
        <v>18.899999999999999</v>
      </c>
      <c r="J27" s="221">
        <f t="shared" si="0"/>
        <v>6803.9999999999991</v>
      </c>
      <c r="K27" s="221">
        <v>12</v>
      </c>
      <c r="L27" s="221">
        <f t="shared" si="1"/>
        <v>4320</v>
      </c>
      <c r="M27" s="206">
        <f>AVERAGE(E27,I27)</f>
        <v>21.29</v>
      </c>
      <c r="N27" s="206">
        <f t="shared" si="2"/>
        <v>7664.4</v>
      </c>
      <c r="O27" s="83"/>
      <c r="P27" s="83"/>
      <c r="Q27" s="83"/>
      <c r="R27" s="83"/>
      <c r="S27" s="83"/>
    </row>
    <row r="28" spans="1:19" ht="105.6" customHeight="1" x14ac:dyDescent="0.25">
      <c r="A28" s="160">
        <v>16</v>
      </c>
      <c r="B28" s="84" t="s">
        <v>520</v>
      </c>
      <c r="C28" s="84" t="s">
        <v>57</v>
      </c>
      <c r="D28" s="177">
        <v>180</v>
      </c>
      <c r="E28" s="195"/>
      <c r="F28" s="195"/>
      <c r="G28" s="195"/>
      <c r="H28" s="195">
        <v>43.69</v>
      </c>
      <c r="I28" s="220">
        <v>28.9</v>
      </c>
      <c r="J28" s="221">
        <f t="shared" si="0"/>
        <v>5202</v>
      </c>
      <c r="K28" s="221">
        <v>22</v>
      </c>
      <c r="L28" s="221">
        <f t="shared" si="1"/>
        <v>3960</v>
      </c>
      <c r="M28" s="206">
        <f>AVERAGE(I28,K28)</f>
        <v>25.45</v>
      </c>
      <c r="N28" s="206">
        <f t="shared" si="2"/>
        <v>4581</v>
      </c>
      <c r="O28" s="83"/>
      <c r="P28" s="83"/>
      <c r="Q28" s="83"/>
      <c r="R28" s="83"/>
      <c r="S28" s="83"/>
    </row>
    <row r="29" spans="1:19" ht="18.95" customHeight="1" x14ac:dyDescent="0.25">
      <c r="A29" s="160">
        <v>17</v>
      </c>
      <c r="B29" s="84" t="s">
        <v>59</v>
      </c>
      <c r="C29" s="1" t="s">
        <v>56</v>
      </c>
      <c r="D29" s="155">
        <v>144</v>
      </c>
      <c r="E29" s="194"/>
      <c r="F29" s="194"/>
      <c r="G29" s="194"/>
      <c r="H29" s="194">
        <v>18.899999999999999</v>
      </c>
      <c r="I29" s="220">
        <v>18</v>
      </c>
      <c r="J29" s="221">
        <f t="shared" si="0"/>
        <v>2592</v>
      </c>
      <c r="K29" s="221">
        <v>15</v>
      </c>
      <c r="L29" s="221">
        <f t="shared" si="1"/>
        <v>2160</v>
      </c>
      <c r="M29" s="206">
        <f>AVERAGE(H29,I29,K29)</f>
        <v>17.3</v>
      </c>
      <c r="N29" s="206">
        <f t="shared" si="2"/>
        <v>2491.2000000000003</v>
      </c>
      <c r="O29" s="83"/>
      <c r="P29" s="83"/>
      <c r="Q29" s="83"/>
      <c r="R29" s="83"/>
      <c r="S29" s="83"/>
    </row>
    <row r="30" spans="1:19" ht="24" customHeight="1" x14ac:dyDescent="0.25">
      <c r="A30" s="160">
        <v>18</v>
      </c>
      <c r="B30" s="84" t="s">
        <v>60</v>
      </c>
      <c r="C30" s="1" t="s">
        <v>56</v>
      </c>
      <c r="D30" s="155">
        <v>144</v>
      </c>
      <c r="E30" s="194"/>
      <c r="F30" s="194"/>
      <c r="G30" s="194"/>
      <c r="H30" s="194">
        <v>20.9</v>
      </c>
      <c r="I30" s="220">
        <v>26.9</v>
      </c>
      <c r="J30" s="221">
        <f t="shared" si="0"/>
        <v>3873.6</v>
      </c>
      <c r="K30" s="221">
        <v>17</v>
      </c>
      <c r="L30" s="221">
        <f t="shared" si="1"/>
        <v>2448</v>
      </c>
      <c r="M30" s="206">
        <f t="shared" ref="M30:M36" si="3">AVERAGE(H30,I30)</f>
        <v>23.9</v>
      </c>
      <c r="N30" s="206">
        <f t="shared" si="2"/>
        <v>3441.6</v>
      </c>
      <c r="O30" s="83"/>
      <c r="P30" s="83"/>
      <c r="Q30" s="83"/>
      <c r="R30" s="83"/>
      <c r="S30" s="83"/>
    </row>
    <row r="31" spans="1:19" ht="24.6" customHeight="1" x14ac:dyDescent="0.25">
      <c r="A31" s="160">
        <v>19</v>
      </c>
      <c r="B31" s="84" t="s">
        <v>61</v>
      </c>
      <c r="C31" s="1" t="s">
        <v>56</v>
      </c>
      <c r="D31" s="155">
        <v>144</v>
      </c>
      <c r="E31" s="194"/>
      <c r="F31" s="194"/>
      <c r="G31" s="194"/>
      <c r="H31" s="194">
        <v>38.9</v>
      </c>
      <c r="I31" s="220">
        <v>37.9</v>
      </c>
      <c r="J31" s="221">
        <f t="shared" si="0"/>
        <v>5457.5999999999995</v>
      </c>
      <c r="K31" s="221">
        <v>26</v>
      </c>
      <c r="L31" s="221">
        <f t="shared" si="1"/>
        <v>3744</v>
      </c>
      <c r="M31" s="206">
        <f t="shared" si="3"/>
        <v>38.4</v>
      </c>
      <c r="N31" s="206">
        <f t="shared" si="2"/>
        <v>5529.5999999999995</v>
      </c>
      <c r="O31" s="83"/>
      <c r="P31" s="83"/>
      <c r="Q31" s="83"/>
      <c r="R31" s="83"/>
      <c r="S31" s="83"/>
    </row>
    <row r="32" spans="1:19" ht="24" customHeight="1" x14ac:dyDescent="0.25">
      <c r="A32" s="160">
        <v>20</v>
      </c>
      <c r="B32" s="84" t="s">
        <v>62</v>
      </c>
      <c r="C32" s="1" t="s">
        <v>56</v>
      </c>
      <c r="D32" s="155">
        <v>360</v>
      </c>
      <c r="E32" s="194"/>
      <c r="F32" s="194"/>
      <c r="G32" s="194"/>
      <c r="H32" s="194">
        <v>21.83</v>
      </c>
      <c r="I32" s="220">
        <v>18</v>
      </c>
      <c r="J32" s="221">
        <f t="shared" si="0"/>
        <v>6480</v>
      </c>
      <c r="K32" s="221">
        <v>15</v>
      </c>
      <c r="L32" s="221">
        <f t="shared" si="1"/>
        <v>5400</v>
      </c>
      <c r="M32" s="206">
        <f t="shared" si="3"/>
        <v>19.914999999999999</v>
      </c>
      <c r="N32" s="206">
        <f t="shared" si="2"/>
        <v>7169.4</v>
      </c>
      <c r="O32" s="83"/>
      <c r="P32" s="83"/>
      <c r="Q32" s="83"/>
      <c r="R32" s="83"/>
      <c r="S32" s="83"/>
    </row>
    <row r="33" spans="1:19" ht="21.95" customHeight="1" x14ac:dyDescent="0.25">
      <c r="A33" s="160">
        <v>21</v>
      </c>
      <c r="B33" s="84" t="s">
        <v>63</v>
      </c>
      <c r="C33" s="1" t="s">
        <v>56</v>
      </c>
      <c r="D33" s="155">
        <v>432</v>
      </c>
      <c r="E33" s="194"/>
      <c r="F33" s="194"/>
      <c r="G33" s="194"/>
      <c r="H33" s="194">
        <v>29.97</v>
      </c>
      <c r="I33" s="220">
        <v>26.9</v>
      </c>
      <c r="J33" s="221">
        <f t="shared" si="0"/>
        <v>11620.8</v>
      </c>
      <c r="K33" s="221">
        <v>17</v>
      </c>
      <c r="L33" s="221">
        <f t="shared" si="1"/>
        <v>7344</v>
      </c>
      <c r="M33" s="206">
        <f t="shared" si="3"/>
        <v>28.434999999999999</v>
      </c>
      <c r="N33" s="206">
        <f t="shared" si="2"/>
        <v>12283.92</v>
      </c>
      <c r="O33" s="83"/>
      <c r="P33" s="83"/>
      <c r="Q33" s="83"/>
      <c r="R33" s="83"/>
      <c r="S33" s="83"/>
    </row>
    <row r="34" spans="1:19" ht="27.6" customHeight="1" x14ac:dyDescent="0.25">
      <c r="A34" s="160">
        <v>22</v>
      </c>
      <c r="B34" s="84" t="s">
        <v>64</v>
      </c>
      <c r="C34" s="1" t="s">
        <v>56</v>
      </c>
      <c r="D34" s="155">
        <v>432</v>
      </c>
      <c r="E34" s="194"/>
      <c r="F34" s="194"/>
      <c r="G34" s="194"/>
      <c r="H34" s="194">
        <v>33.9</v>
      </c>
      <c r="I34" s="220">
        <v>37.9</v>
      </c>
      <c r="J34" s="221">
        <f t="shared" si="0"/>
        <v>16372.8</v>
      </c>
      <c r="K34" s="221">
        <v>26</v>
      </c>
      <c r="L34" s="221">
        <f t="shared" si="1"/>
        <v>11232</v>
      </c>
      <c r="M34" s="206">
        <f t="shared" si="3"/>
        <v>35.9</v>
      </c>
      <c r="N34" s="206">
        <f t="shared" si="2"/>
        <v>15508.8</v>
      </c>
      <c r="O34" s="83"/>
      <c r="P34" s="83"/>
      <c r="Q34" s="83"/>
      <c r="R34" s="83"/>
      <c r="S34" s="83"/>
    </row>
    <row r="35" spans="1:19" ht="18.95" customHeight="1" x14ac:dyDescent="0.25">
      <c r="A35" s="160">
        <v>23</v>
      </c>
      <c r="B35" s="84" t="s">
        <v>65</v>
      </c>
      <c r="C35" s="1" t="s">
        <v>56</v>
      </c>
      <c r="D35" s="155">
        <v>144</v>
      </c>
      <c r="E35" s="194"/>
      <c r="F35" s="194"/>
      <c r="G35" s="194"/>
      <c r="H35" s="194">
        <v>23.29</v>
      </c>
      <c r="I35" s="220">
        <v>26.9</v>
      </c>
      <c r="J35" s="221">
        <f t="shared" si="0"/>
        <v>3873.6</v>
      </c>
      <c r="K35" s="221">
        <v>17</v>
      </c>
      <c r="L35" s="221">
        <f t="shared" si="1"/>
        <v>2448</v>
      </c>
      <c r="M35" s="206">
        <f t="shared" si="3"/>
        <v>25.094999999999999</v>
      </c>
      <c r="N35" s="206">
        <f t="shared" si="2"/>
        <v>3613.68</v>
      </c>
      <c r="O35" s="83"/>
      <c r="P35" s="83"/>
      <c r="Q35" s="83"/>
      <c r="R35" s="83"/>
      <c r="S35" s="83"/>
    </row>
    <row r="36" spans="1:19" ht="21.6" customHeight="1" x14ac:dyDescent="0.25">
      <c r="A36" s="160">
        <v>24</v>
      </c>
      <c r="B36" s="84" t="s">
        <v>66</v>
      </c>
      <c r="C36" s="1" t="s">
        <v>56</v>
      </c>
      <c r="D36" s="155">
        <v>144</v>
      </c>
      <c r="E36" s="194"/>
      <c r="F36" s="194"/>
      <c r="G36" s="194"/>
      <c r="H36" s="194">
        <v>34.9</v>
      </c>
      <c r="I36" s="220">
        <v>37.9</v>
      </c>
      <c r="J36" s="221">
        <f t="shared" si="0"/>
        <v>5457.5999999999995</v>
      </c>
      <c r="K36" s="221">
        <v>26</v>
      </c>
      <c r="L36" s="221">
        <f t="shared" si="1"/>
        <v>3744</v>
      </c>
      <c r="M36" s="206">
        <f t="shared" si="3"/>
        <v>36.4</v>
      </c>
      <c r="N36" s="206">
        <f t="shared" si="2"/>
        <v>5241.5999999999995</v>
      </c>
      <c r="O36" s="83"/>
      <c r="P36" s="83"/>
      <c r="Q36" s="83"/>
      <c r="R36" s="83"/>
      <c r="S36" s="83"/>
    </row>
    <row r="37" spans="1:19" ht="22.5" customHeight="1" x14ac:dyDescent="0.25">
      <c r="A37" s="160">
        <v>25</v>
      </c>
      <c r="B37" s="84" t="s">
        <v>67</v>
      </c>
      <c r="C37" s="1" t="s">
        <v>56</v>
      </c>
      <c r="D37" s="155">
        <v>72</v>
      </c>
      <c r="E37" s="194"/>
      <c r="F37" s="194"/>
      <c r="G37" s="194"/>
      <c r="H37" s="194">
        <v>340</v>
      </c>
      <c r="I37" s="220">
        <v>290</v>
      </c>
      <c r="J37" s="221">
        <f t="shared" si="0"/>
        <v>20880</v>
      </c>
      <c r="K37" s="221">
        <v>199</v>
      </c>
      <c r="L37" s="221">
        <f t="shared" si="1"/>
        <v>14328</v>
      </c>
      <c r="M37" s="206">
        <f>AVERAGE(I37,K37)</f>
        <v>244.5</v>
      </c>
      <c r="N37" s="206">
        <f t="shared" si="2"/>
        <v>17604</v>
      </c>
      <c r="O37" s="83"/>
      <c r="P37" s="83"/>
      <c r="Q37" s="83"/>
      <c r="R37" s="83"/>
      <c r="S37" s="83"/>
    </row>
    <row r="38" spans="1:19" ht="89.45" customHeight="1" x14ac:dyDescent="0.25">
      <c r="A38" s="160">
        <v>26</v>
      </c>
      <c r="B38" s="84" t="s">
        <v>399</v>
      </c>
      <c r="C38" s="1" t="s">
        <v>56</v>
      </c>
      <c r="D38" s="155">
        <v>900</v>
      </c>
      <c r="E38" s="194">
        <v>25.8</v>
      </c>
      <c r="F38" s="194"/>
      <c r="G38" s="194">
        <v>27.9</v>
      </c>
      <c r="H38" s="194">
        <v>53.9</v>
      </c>
      <c r="I38" s="220">
        <v>39.9</v>
      </c>
      <c r="J38" s="221">
        <f t="shared" si="0"/>
        <v>35910</v>
      </c>
      <c r="K38" s="221">
        <v>20</v>
      </c>
      <c r="L38" s="221">
        <f t="shared" si="1"/>
        <v>18000</v>
      </c>
      <c r="M38" s="206">
        <f>AVERAGE(E38,G38,K38)</f>
        <v>24.566666666666666</v>
      </c>
      <c r="N38" s="206">
        <f t="shared" si="2"/>
        <v>22110</v>
      </c>
      <c r="O38" s="83"/>
      <c r="P38" s="83"/>
      <c r="Q38" s="83"/>
      <c r="R38" s="83"/>
      <c r="S38" s="83"/>
    </row>
    <row r="39" spans="1:19" ht="71.099999999999994" customHeight="1" x14ac:dyDescent="0.25">
      <c r="A39" s="160">
        <v>27</v>
      </c>
      <c r="B39" s="84" t="s">
        <v>400</v>
      </c>
      <c r="C39" s="1" t="s">
        <v>56</v>
      </c>
      <c r="D39" s="155">
        <v>720</v>
      </c>
      <c r="E39" s="194">
        <v>25.8</v>
      </c>
      <c r="F39" s="194"/>
      <c r="G39" s="194">
        <v>34.85</v>
      </c>
      <c r="H39" s="194">
        <v>31.9</v>
      </c>
      <c r="I39" s="220">
        <v>44</v>
      </c>
      <c r="J39" s="221">
        <f t="shared" si="0"/>
        <v>31680</v>
      </c>
      <c r="K39" s="221">
        <v>20</v>
      </c>
      <c r="L39" s="221">
        <f t="shared" si="1"/>
        <v>14400</v>
      </c>
      <c r="M39" s="206">
        <f>AVERAGE(E39,G39,H39)</f>
        <v>30.850000000000005</v>
      </c>
      <c r="N39" s="206">
        <f t="shared" si="2"/>
        <v>22212.000000000004</v>
      </c>
      <c r="O39" s="83"/>
      <c r="P39" s="83"/>
      <c r="Q39" s="83"/>
      <c r="R39" s="83"/>
      <c r="S39" s="83"/>
    </row>
    <row r="40" spans="1:19" ht="89.45" customHeight="1" x14ac:dyDescent="0.25">
      <c r="A40" s="160">
        <v>28</v>
      </c>
      <c r="B40" s="84" t="s">
        <v>401</v>
      </c>
      <c r="C40" s="1" t="s">
        <v>56</v>
      </c>
      <c r="D40" s="155">
        <v>600</v>
      </c>
      <c r="E40" s="194">
        <v>29</v>
      </c>
      <c r="F40" s="194"/>
      <c r="G40" s="194">
        <v>84.15</v>
      </c>
      <c r="H40" s="194">
        <v>53.9</v>
      </c>
      <c r="I40" s="220">
        <v>29.9</v>
      </c>
      <c r="J40" s="221">
        <f t="shared" si="0"/>
        <v>17940</v>
      </c>
      <c r="K40" s="221">
        <v>20</v>
      </c>
      <c r="L40" s="221">
        <f t="shared" si="1"/>
        <v>12000</v>
      </c>
      <c r="M40" s="206">
        <f>AVERAGE(E40,H40,I40)</f>
        <v>37.6</v>
      </c>
      <c r="N40" s="206">
        <f t="shared" si="2"/>
        <v>22560</v>
      </c>
      <c r="O40" s="83"/>
      <c r="P40" s="83"/>
      <c r="Q40" s="83"/>
      <c r="R40" s="83"/>
      <c r="S40" s="83"/>
    </row>
    <row r="41" spans="1:19" ht="20.100000000000001" customHeight="1" x14ac:dyDescent="0.25">
      <c r="A41" s="160">
        <v>29</v>
      </c>
      <c r="B41" s="84" t="s">
        <v>402</v>
      </c>
      <c r="C41" s="1" t="s">
        <v>56</v>
      </c>
      <c r="D41" s="155">
        <v>72</v>
      </c>
      <c r="E41" s="194">
        <v>12.75</v>
      </c>
      <c r="F41" s="194"/>
      <c r="G41" s="194"/>
      <c r="H41" s="194">
        <v>60</v>
      </c>
      <c r="I41" s="220">
        <v>54.9</v>
      </c>
      <c r="J41" s="221">
        <f t="shared" si="0"/>
        <v>3952.7999999999997</v>
      </c>
      <c r="K41" s="221">
        <v>55</v>
      </c>
      <c r="L41" s="221">
        <f t="shared" si="1"/>
        <v>3960</v>
      </c>
      <c r="M41" s="206">
        <f>AVERAGE(H41,I41,K41)</f>
        <v>56.633333333333333</v>
      </c>
      <c r="N41" s="206">
        <f t="shared" si="2"/>
        <v>4077.6</v>
      </c>
      <c r="O41" s="83"/>
      <c r="P41" s="83"/>
      <c r="Q41" s="83"/>
      <c r="R41" s="83"/>
      <c r="S41" s="83"/>
    </row>
    <row r="42" spans="1:19" ht="22.5" customHeight="1" x14ac:dyDescent="0.25">
      <c r="A42" s="160">
        <v>30</v>
      </c>
      <c r="B42" s="84" t="s">
        <v>403</v>
      </c>
      <c r="C42" s="1" t="s">
        <v>56</v>
      </c>
      <c r="D42" s="155">
        <v>72</v>
      </c>
      <c r="E42" s="194">
        <v>12.75</v>
      </c>
      <c r="F42" s="194"/>
      <c r="G42" s="194"/>
      <c r="H42" s="194">
        <v>90</v>
      </c>
      <c r="I42" s="220">
        <v>58.9</v>
      </c>
      <c r="J42" s="221">
        <f t="shared" si="0"/>
        <v>4240.8</v>
      </c>
      <c r="K42" s="221">
        <v>65</v>
      </c>
      <c r="L42" s="221">
        <f t="shared" si="1"/>
        <v>4680</v>
      </c>
      <c r="M42" s="206">
        <f>AVERAGE(H42,I42)</f>
        <v>74.45</v>
      </c>
      <c r="N42" s="206">
        <f t="shared" si="2"/>
        <v>5360.4000000000005</v>
      </c>
      <c r="O42" s="83"/>
      <c r="P42" s="83"/>
      <c r="Q42" s="83"/>
      <c r="R42" s="83"/>
      <c r="S42" s="83"/>
    </row>
    <row r="43" spans="1:19" ht="20.100000000000001" customHeight="1" x14ac:dyDescent="0.25">
      <c r="A43" s="160">
        <v>31</v>
      </c>
      <c r="B43" s="84" t="s">
        <v>404</v>
      </c>
      <c r="C43" s="1" t="s">
        <v>56</v>
      </c>
      <c r="D43" s="155">
        <v>72</v>
      </c>
      <c r="E43" s="194">
        <v>12.75</v>
      </c>
      <c r="F43" s="194"/>
      <c r="G43" s="194"/>
      <c r="H43" s="194">
        <v>80</v>
      </c>
      <c r="I43" s="220">
        <v>63.9</v>
      </c>
      <c r="J43" s="221">
        <f t="shared" si="0"/>
        <v>4600.8</v>
      </c>
      <c r="K43" s="221">
        <v>75</v>
      </c>
      <c r="L43" s="221">
        <f t="shared" si="1"/>
        <v>5400</v>
      </c>
      <c r="M43" s="206">
        <f>AVERAGE(H43,I43,K43)</f>
        <v>72.966666666666669</v>
      </c>
      <c r="N43" s="206">
        <f t="shared" si="2"/>
        <v>5253.6</v>
      </c>
      <c r="O43" s="83"/>
      <c r="P43" s="83"/>
      <c r="Q43" s="83"/>
      <c r="R43" s="83"/>
      <c r="S43" s="83"/>
    </row>
    <row r="44" spans="1:19" ht="21.6" customHeight="1" x14ac:dyDescent="0.25">
      <c r="A44" s="160">
        <v>32</v>
      </c>
      <c r="B44" s="84" t="s">
        <v>405</v>
      </c>
      <c r="C44" s="1" t="s">
        <v>56</v>
      </c>
      <c r="D44" s="155">
        <v>360</v>
      </c>
      <c r="E44" s="194"/>
      <c r="F44" s="194">
        <v>12.27</v>
      </c>
      <c r="G44" s="194"/>
      <c r="H44" s="194"/>
      <c r="I44" s="220">
        <v>3.9</v>
      </c>
      <c r="J44" s="221">
        <f t="shared" si="0"/>
        <v>1404</v>
      </c>
      <c r="K44" s="221">
        <v>2.5</v>
      </c>
      <c r="L44" s="221">
        <f t="shared" si="1"/>
        <v>900</v>
      </c>
      <c r="M44" s="206">
        <f>AVERAGE(I44,K44)</f>
        <v>3.2</v>
      </c>
      <c r="N44" s="206">
        <f t="shared" si="2"/>
        <v>1152</v>
      </c>
      <c r="O44" s="83"/>
      <c r="P44" s="83"/>
      <c r="Q44" s="83"/>
      <c r="R44" s="83"/>
      <c r="S44" s="83"/>
    </row>
    <row r="45" spans="1:19" ht="33" customHeight="1" x14ac:dyDescent="0.25">
      <c r="A45" s="160">
        <v>33</v>
      </c>
      <c r="B45" s="84" t="s">
        <v>406</v>
      </c>
      <c r="C45" s="1" t="s">
        <v>56</v>
      </c>
      <c r="D45" s="155">
        <v>180</v>
      </c>
      <c r="E45" s="194"/>
      <c r="F45" s="194"/>
      <c r="G45" s="194"/>
      <c r="H45" s="194">
        <v>39</v>
      </c>
      <c r="I45" s="220">
        <v>39.5</v>
      </c>
      <c r="J45" s="221">
        <f t="shared" ref="J45:J76" si="4">I45*D45</f>
        <v>7110</v>
      </c>
      <c r="K45" s="221">
        <v>48.65</v>
      </c>
      <c r="L45" s="221">
        <f t="shared" ref="L45:L76" si="5">K45*D45</f>
        <v>8757</v>
      </c>
      <c r="M45" s="206">
        <f>AVERAGE(H45,I45,K45)</f>
        <v>42.383333333333333</v>
      </c>
      <c r="N45" s="206">
        <f t="shared" ref="N45:N76" si="6">M45*D45</f>
        <v>7629</v>
      </c>
      <c r="O45" s="83"/>
      <c r="P45" s="83"/>
      <c r="Q45" s="83"/>
      <c r="R45" s="83"/>
      <c r="S45" s="83"/>
    </row>
    <row r="46" spans="1:19" ht="38.1" customHeight="1" x14ac:dyDescent="0.25">
      <c r="A46" s="160">
        <v>34</v>
      </c>
      <c r="B46" s="84" t="s">
        <v>407</v>
      </c>
      <c r="C46" s="1" t="s">
        <v>56</v>
      </c>
      <c r="D46" s="155">
        <v>72</v>
      </c>
      <c r="E46" s="194"/>
      <c r="F46" s="194"/>
      <c r="G46" s="194"/>
      <c r="H46" s="194">
        <v>36.67</v>
      </c>
      <c r="I46" s="220">
        <v>9.9</v>
      </c>
      <c r="J46" s="221">
        <f t="shared" si="4"/>
        <v>712.80000000000007</v>
      </c>
      <c r="K46" s="221">
        <v>31.12</v>
      </c>
      <c r="L46" s="221">
        <f t="shared" si="5"/>
        <v>2240.64</v>
      </c>
      <c r="M46" s="206">
        <f>AVERAGE(H46,K46)</f>
        <v>33.895000000000003</v>
      </c>
      <c r="N46" s="206">
        <f t="shared" si="6"/>
        <v>2440.44</v>
      </c>
      <c r="O46" s="83"/>
      <c r="P46" s="83"/>
      <c r="Q46" s="83"/>
      <c r="R46" s="83"/>
      <c r="S46" s="83"/>
    </row>
    <row r="47" spans="1:19" ht="72.599999999999994" customHeight="1" x14ac:dyDescent="0.25">
      <c r="A47" s="160">
        <v>35</v>
      </c>
      <c r="B47" s="84" t="s">
        <v>408</v>
      </c>
      <c r="C47" s="1" t="s">
        <v>68</v>
      </c>
      <c r="D47" s="155">
        <v>72</v>
      </c>
      <c r="E47" s="194"/>
      <c r="F47" s="194"/>
      <c r="G47" s="194"/>
      <c r="H47" s="194">
        <v>69.900000000000006</v>
      </c>
      <c r="I47" s="220">
        <f>1.6*14</f>
        <v>22.400000000000002</v>
      </c>
      <c r="J47" s="221">
        <f t="shared" si="4"/>
        <v>1612.8000000000002</v>
      </c>
      <c r="K47" s="221">
        <v>19.5</v>
      </c>
      <c r="L47" s="221">
        <f t="shared" si="5"/>
        <v>1404</v>
      </c>
      <c r="M47" s="206">
        <f>AVERAGE(I47,K47)</f>
        <v>20.950000000000003</v>
      </c>
      <c r="N47" s="206">
        <f t="shared" si="6"/>
        <v>1508.4</v>
      </c>
      <c r="O47" s="83"/>
      <c r="P47" s="83"/>
      <c r="Q47" s="83"/>
      <c r="R47" s="83"/>
      <c r="S47" s="83"/>
    </row>
    <row r="48" spans="1:19" ht="45.6" customHeight="1" x14ac:dyDescent="0.25">
      <c r="A48" s="160">
        <v>36</v>
      </c>
      <c r="B48" s="84" t="s">
        <v>409</v>
      </c>
      <c r="C48" s="1" t="s">
        <v>56</v>
      </c>
      <c r="D48" s="155">
        <v>540</v>
      </c>
      <c r="E48" s="194">
        <v>0.96</v>
      </c>
      <c r="F48" s="194"/>
      <c r="G48" s="194"/>
      <c r="H48" s="194">
        <v>5.32</v>
      </c>
      <c r="I48" s="220">
        <v>6.9</v>
      </c>
      <c r="J48" s="221">
        <f t="shared" si="4"/>
        <v>3726</v>
      </c>
      <c r="K48" s="221">
        <v>7</v>
      </c>
      <c r="L48" s="221">
        <f t="shared" si="5"/>
        <v>3780</v>
      </c>
      <c r="M48" s="206">
        <f>AVERAGE(H48,I48,K48)</f>
        <v>6.4066666666666663</v>
      </c>
      <c r="N48" s="206">
        <f t="shared" si="6"/>
        <v>3459.6</v>
      </c>
      <c r="O48" s="83"/>
      <c r="P48" s="83"/>
      <c r="Q48" s="83"/>
      <c r="R48" s="83"/>
      <c r="S48" s="83"/>
    </row>
    <row r="49" spans="1:19" ht="34.5" customHeight="1" x14ac:dyDescent="0.25">
      <c r="A49" s="160">
        <v>37</v>
      </c>
      <c r="B49" s="157" t="s">
        <v>410</v>
      </c>
      <c r="C49" s="1" t="s">
        <v>56</v>
      </c>
      <c r="D49" s="155">
        <v>360</v>
      </c>
      <c r="E49" s="194">
        <v>0.96</v>
      </c>
      <c r="F49" s="194"/>
      <c r="G49" s="194">
        <v>0.72</v>
      </c>
      <c r="H49" s="194">
        <v>1.9</v>
      </c>
      <c r="I49" s="220">
        <v>0.49</v>
      </c>
      <c r="J49" s="221">
        <f t="shared" si="4"/>
        <v>176.4</v>
      </c>
      <c r="K49" s="221">
        <v>1.1599999999999999</v>
      </c>
      <c r="L49" s="221">
        <f t="shared" si="5"/>
        <v>417.59999999999997</v>
      </c>
      <c r="M49" s="206">
        <f>AVERAGE(E49,H49,I49,K49)</f>
        <v>1.1274999999999999</v>
      </c>
      <c r="N49" s="206">
        <f t="shared" si="6"/>
        <v>405.9</v>
      </c>
      <c r="O49" s="83"/>
      <c r="P49" s="83"/>
      <c r="Q49" s="83"/>
      <c r="R49" s="83"/>
      <c r="S49" s="83"/>
    </row>
    <row r="50" spans="1:19" ht="45.6" customHeight="1" x14ac:dyDescent="0.25">
      <c r="A50" s="160">
        <v>38</v>
      </c>
      <c r="B50" s="84" t="s">
        <v>411</v>
      </c>
      <c r="C50" s="1" t="s">
        <v>69</v>
      </c>
      <c r="D50" s="155">
        <v>72</v>
      </c>
      <c r="E50" s="194"/>
      <c r="F50" s="194"/>
      <c r="G50" s="194"/>
      <c r="H50" s="194">
        <v>28.9</v>
      </c>
      <c r="I50" s="220">
        <v>24</v>
      </c>
      <c r="J50" s="221">
        <f t="shared" si="4"/>
        <v>1728</v>
      </c>
      <c r="K50" s="221">
        <v>18</v>
      </c>
      <c r="L50" s="221">
        <f t="shared" si="5"/>
        <v>1296</v>
      </c>
      <c r="M50" s="206">
        <f>AVERAGE(H50,I50,K50)</f>
        <v>23.633333333333336</v>
      </c>
      <c r="N50" s="206">
        <f t="shared" si="6"/>
        <v>1701.6000000000001</v>
      </c>
      <c r="O50" s="83"/>
      <c r="P50" s="83"/>
      <c r="Q50" s="83"/>
      <c r="R50" s="83"/>
      <c r="S50" s="83"/>
    </row>
    <row r="51" spans="1:19" ht="47.1" customHeight="1" x14ac:dyDescent="0.25">
      <c r="A51" s="160">
        <v>39</v>
      </c>
      <c r="B51" s="84" t="s">
        <v>412</v>
      </c>
      <c r="C51" s="1" t="s">
        <v>69</v>
      </c>
      <c r="D51" s="155">
        <v>72</v>
      </c>
      <c r="E51" s="194"/>
      <c r="F51" s="194"/>
      <c r="G51" s="194"/>
      <c r="H51" s="194">
        <v>5</v>
      </c>
      <c r="I51" s="220">
        <v>1.9</v>
      </c>
      <c r="J51" s="221">
        <f t="shared" si="4"/>
        <v>136.79999999999998</v>
      </c>
      <c r="K51" s="221">
        <v>11</v>
      </c>
      <c r="L51" s="221">
        <f t="shared" si="5"/>
        <v>792</v>
      </c>
      <c r="M51" s="206">
        <f>AVERAGE(H51,I51)</f>
        <v>3.45</v>
      </c>
      <c r="N51" s="206">
        <f t="shared" si="6"/>
        <v>248.4</v>
      </c>
      <c r="O51" s="83"/>
      <c r="P51" s="83"/>
      <c r="Q51" s="83"/>
      <c r="R51" s="83"/>
      <c r="S51" s="83"/>
    </row>
    <row r="52" spans="1:19" ht="20.100000000000001" customHeight="1" x14ac:dyDescent="0.25">
      <c r="A52" s="160">
        <v>40</v>
      </c>
      <c r="B52" s="84" t="s">
        <v>70</v>
      </c>
      <c r="C52" s="1" t="s">
        <v>56</v>
      </c>
      <c r="D52" s="155">
        <v>72</v>
      </c>
      <c r="E52" s="194"/>
      <c r="F52" s="194"/>
      <c r="G52" s="194"/>
      <c r="H52" s="194">
        <v>15.9</v>
      </c>
      <c r="I52" s="220">
        <v>11.5</v>
      </c>
      <c r="J52" s="221">
        <f t="shared" si="4"/>
        <v>828</v>
      </c>
      <c r="K52" s="221">
        <v>0.6</v>
      </c>
      <c r="L52" s="221">
        <f t="shared" si="5"/>
        <v>43.199999999999996</v>
      </c>
      <c r="M52" s="206">
        <f>AVERAGE(H52,I52)</f>
        <v>13.7</v>
      </c>
      <c r="N52" s="206">
        <f t="shared" si="6"/>
        <v>986.4</v>
      </c>
      <c r="O52" s="83"/>
      <c r="P52" s="83"/>
      <c r="Q52" s="83"/>
      <c r="R52" s="83"/>
      <c r="S52" s="83"/>
    </row>
    <row r="53" spans="1:19" ht="39.950000000000003" customHeight="1" x14ac:dyDescent="0.25">
      <c r="A53" s="160">
        <v>41</v>
      </c>
      <c r="B53" s="84" t="s">
        <v>413</v>
      </c>
      <c r="C53" s="1" t="s">
        <v>56</v>
      </c>
      <c r="D53" s="155">
        <v>96</v>
      </c>
      <c r="E53" s="194"/>
      <c r="F53" s="194"/>
      <c r="G53" s="194"/>
      <c r="H53" s="194">
        <v>119.9</v>
      </c>
      <c r="I53" s="220">
        <v>49.9</v>
      </c>
      <c r="J53" s="221">
        <f t="shared" si="4"/>
        <v>4790.3999999999996</v>
      </c>
      <c r="K53" s="221">
        <v>103</v>
      </c>
      <c r="L53" s="221">
        <f t="shared" si="5"/>
        <v>9888</v>
      </c>
      <c r="M53" s="206">
        <f>AVERAGE(H53,K53)</f>
        <v>111.45</v>
      </c>
      <c r="N53" s="206">
        <f t="shared" si="6"/>
        <v>10699.2</v>
      </c>
      <c r="O53" s="83"/>
      <c r="P53" s="83"/>
      <c r="Q53" s="83"/>
      <c r="R53" s="83"/>
      <c r="S53" s="83"/>
    </row>
    <row r="54" spans="1:19" ht="62.45" customHeight="1" x14ac:dyDescent="0.25">
      <c r="A54" s="160">
        <v>42</v>
      </c>
      <c r="B54" s="84" t="s">
        <v>414</v>
      </c>
      <c r="C54" s="1" t="s">
        <v>56</v>
      </c>
      <c r="D54" s="155">
        <v>2880</v>
      </c>
      <c r="E54" s="194">
        <v>1.3</v>
      </c>
      <c r="F54" s="194">
        <v>13</v>
      </c>
      <c r="G54" s="194"/>
      <c r="H54" s="194"/>
      <c r="I54" s="220">
        <v>1.95</v>
      </c>
      <c r="J54" s="221">
        <f t="shared" si="4"/>
        <v>5616</v>
      </c>
      <c r="K54" s="221">
        <v>1.5</v>
      </c>
      <c r="L54" s="221">
        <f t="shared" si="5"/>
        <v>4320</v>
      </c>
      <c r="M54" s="206">
        <f>AVERAGE(E54,I54,K54)</f>
        <v>1.5833333333333333</v>
      </c>
      <c r="N54" s="206">
        <f t="shared" si="6"/>
        <v>4560</v>
      </c>
      <c r="O54" s="83"/>
      <c r="P54" s="83"/>
      <c r="Q54" s="83"/>
      <c r="R54" s="83"/>
      <c r="S54" s="83"/>
    </row>
    <row r="55" spans="1:19" ht="26.45" customHeight="1" x14ac:dyDescent="0.25">
      <c r="A55" s="160">
        <v>43</v>
      </c>
      <c r="B55" s="84" t="s">
        <v>71</v>
      </c>
      <c r="C55" s="1" t="s">
        <v>72</v>
      </c>
      <c r="D55" s="155">
        <v>120</v>
      </c>
      <c r="E55" s="194"/>
      <c r="F55" s="194"/>
      <c r="G55" s="194"/>
      <c r="H55" s="194"/>
      <c r="I55" s="220">
        <v>6.9</v>
      </c>
      <c r="J55" s="221">
        <f t="shared" si="4"/>
        <v>828</v>
      </c>
      <c r="K55" s="221">
        <v>6.89</v>
      </c>
      <c r="L55" s="221">
        <f t="shared" si="5"/>
        <v>826.8</v>
      </c>
      <c r="M55" s="206">
        <f>AVERAGE(I55,K55)</f>
        <v>6.8949999999999996</v>
      </c>
      <c r="N55" s="206">
        <f t="shared" si="6"/>
        <v>827.4</v>
      </c>
      <c r="O55" s="83"/>
      <c r="P55" s="83"/>
      <c r="Q55" s="83"/>
      <c r="R55" s="83"/>
      <c r="S55" s="83"/>
    </row>
    <row r="56" spans="1:19" ht="137.1" customHeight="1" x14ac:dyDescent="0.25">
      <c r="A56" s="160">
        <v>44</v>
      </c>
      <c r="B56" s="84" t="s">
        <v>415</v>
      </c>
      <c r="C56" s="84" t="s">
        <v>57</v>
      </c>
      <c r="D56" s="155">
        <v>288</v>
      </c>
      <c r="E56" s="194"/>
      <c r="F56" s="194"/>
      <c r="G56" s="194"/>
      <c r="H56" s="194">
        <v>197</v>
      </c>
      <c r="I56" s="220">
        <v>149</v>
      </c>
      <c r="J56" s="221">
        <f t="shared" si="4"/>
        <v>42912</v>
      </c>
      <c r="K56" s="221">
        <v>98</v>
      </c>
      <c r="L56" s="221">
        <f t="shared" si="5"/>
        <v>28224</v>
      </c>
      <c r="M56" s="206">
        <f>AVERAGE(I56,H56,K56)</f>
        <v>148</v>
      </c>
      <c r="N56" s="206">
        <f t="shared" si="6"/>
        <v>42624</v>
      </c>
      <c r="O56" s="83"/>
      <c r="P56" s="83"/>
      <c r="Q56" s="83"/>
      <c r="R56" s="83"/>
      <c r="S56" s="83"/>
    </row>
    <row r="57" spans="1:19" ht="31.5" customHeight="1" x14ac:dyDescent="0.25">
      <c r="A57" s="160">
        <v>45</v>
      </c>
      <c r="B57" s="84" t="s">
        <v>416</v>
      </c>
      <c r="C57" s="1" t="s">
        <v>56</v>
      </c>
      <c r="D57" s="155">
        <v>864</v>
      </c>
      <c r="E57" s="194"/>
      <c r="F57" s="194"/>
      <c r="G57" s="194"/>
      <c r="H57" s="194"/>
      <c r="I57" s="220">
        <v>11.9</v>
      </c>
      <c r="J57" s="221">
        <f t="shared" si="4"/>
        <v>10281.6</v>
      </c>
      <c r="K57" s="221">
        <v>6.5</v>
      </c>
      <c r="L57" s="221">
        <f t="shared" si="5"/>
        <v>5616</v>
      </c>
      <c r="M57" s="206">
        <f>AVERAGE(I5,K57)</f>
        <v>6.5</v>
      </c>
      <c r="N57" s="206">
        <f t="shared" si="6"/>
        <v>5616</v>
      </c>
      <c r="O57" s="83"/>
      <c r="P57" s="83"/>
      <c r="Q57" s="83"/>
      <c r="R57" s="83"/>
      <c r="S57" s="83"/>
    </row>
    <row r="58" spans="1:19" ht="84.95" customHeight="1" x14ac:dyDescent="0.25">
      <c r="A58" s="160">
        <v>46</v>
      </c>
      <c r="B58" s="84" t="s">
        <v>417</v>
      </c>
      <c r="C58" s="84" t="s">
        <v>57</v>
      </c>
      <c r="D58" s="155">
        <v>72</v>
      </c>
      <c r="E58" s="194"/>
      <c r="F58" s="194"/>
      <c r="G58" s="194"/>
      <c r="H58" s="194">
        <v>60</v>
      </c>
      <c r="I58" s="220">
        <v>59.9</v>
      </c>
      <c r="J58" s="221">
        <f t="shared" si="4"/>
        <v>4312.8</v>
      </c>
      <c r="K58" s="221">
        <v>15</v>
      </c>
      <c r="L58" s="221">
        <f t="shared" si="5"/>
        <v>1080</v>
      </c>
      <c r="M58" s="206">
        <f>AVERAGE(H58,I58)</f>
        <v>59.95</v>
      </c>
      <c r="N58" s="206">
        <f t="shared" si="6"/>
        <v>4316.4000000000005</v>
      </c>
      <c r="O58" s="83"/>
      <c r="P58" s="83"/>
      <c r="Q58" s="83"/>
      <c r="R58" s="83"/>
      <c r="S58" s="83"/>
    </row>
    <row r="59" spans="1:19" ht="63.95" customHeight="1" x14ac:dyDescent="0.25">
      <c r="A59" s="160">
        <v>47</v>
      </c>
      <c r="B59" s="84" t="s">
        <v>418</v>
      </c>
      <c r="C59" s="1" t="s">
        <v>56</v>
      </c>
      <c r="D59" s="155">
        <v>864</v>
      </c>
      <c r="E59" s="194"/>
      <c r="F59" s="194">
        <v>5.41</v>
      </c>
      <c r="G59" s="194"/>
      <c r="H59" s="194">
        <v>10.5</v>
      </c>
      <c r="I59" s="220">
        <v>4.5</v>
      </c>
      <c r="J59" s="221">
        <f t="shared" si="4"/>
        <v>3888</v>
      </c>
      <c r="K59" s="221">
        <v>2.9</v>
      </c>
      <c r="L59" s="221">
        <f t="shared" si="5"/>
        <v>2505.6</v>
      </c>
      <c r="M59" s="206">
        <f>AVERAGE(F59,I59,K59)</f>
        <v>4.2700000000000005</v>
      </c>
      <c r="N59" s="206">
        <f t="shared" si="6"/>
        <v>3689.28</v>
      </c>
      <c r="O59" s="83"/>
      <c r="P59" s="83"/>
      <c r="Q59" s="83"/>
      <c r="R59" s="83"/>
      <c r="S59" s="83"/>
    </row>
    <row r="60" spans="1:19" ht="90.95" customHeight="1" x14ac:dyDescent="0.25">
      <c r="A60" s="160">
        <v>48</v>
      </c>
      <c r="B60" s="84" t="s">
        <v>419</v>
      </c>
      <c r="C60" s="1" t="s">
        <v>56</v>
      </c>
      <c r="D60" s="155">
        <v>3456</v>
      </c>
      <c r="E60" s="194"/>
      <c r="F60" s="194"/>
      <c r="G60" s="194">
        <v>2.71</v>
      </c>
      <c r="H60" s="194">
        <v>6.19</v>
      </c>
      <c r="I60" s="220">
        <v>2.9</v>
      </c>
      <c r="J60" s="221">
        <f t="shared" si="4"/>
        <v>10022.4</v>
      </c>
      <c r="K60" s="221">
        <v>2.5</v>
      </c>
      <c r="L60" s="221">
        <f t="shared" si="5"/>
        <v>8640</v>
      </c>
      <c r="M60" s="206">
        <f>AVERAGE(G60,I60,K60)</f>
        <v>2.7033333333333331</v>
      </c>
      <c r="N60" s="206">
        <f t="shared" si="6"/>
        <v>9342.7199999999993</v>
      </c>
      <c r="O60" s="83"/>
      <c r="P60" s="83"/>
      <c r="Q60" s="83"/>
      <c r="R60" s="83"/>
      <c r="S60" s="83"/>
    </row>
    <row r="61" spans="1:19" ht="87" customHeight="1" x14ac:dyDescent="0.25">
      <c r="A61" s="160">
        <v>49</v>
      </c>
      <c r="B61" s="84" t="s">
        <v>420</v>
      </c>
      <c r="C61" s="1" t="s">
        <v>56</v>
      </c>
      <c r="D61" s="155">
        <v>288</v>
      </c>
      <c r="E61" s="194"/>
      <c r="F61" s="194"/>
      <c r="G61" s="194"/>
      <c r="H61" s="194">
        <v>9.3699999999999992</v>
      </c>
      <c r="I61" s="220">
        <v>6.5</v>
      </c>
      <c r="J61" s="221">
        <f t="shared" si="4"/>
        <v>1872</v>
      </c>
      <c r="K61" s="221">
        <v>4.9000000000000004</v>
      </c>
      <c r="L61" s="221">
        <f t="shared" si="5"/>
        <v>1411.2</v>
      </c>
      <c r="M61" s="206">
        <f>AVERAGE(H61,I61,K61)</f>
        <v>6.9233333333333329</v>
      </c>
      <c r="N61" s="206">
        <f t="shared" si="6"/>
        <v>1993.9199999999998</v>
      </c>
      <c r="O61" s="83"/>
      <c r="P61" s="83"/>
      <c r="Q61" s="83"/>
      <c r="R61" s="83"/>
      <c r="S61" s="83"/>
    </row>
    <row r="62" spans="1:19" ht="63.75" x14ac:dyDescent="0.25">
      <c r="A62" s="160">
        <v>50</v>
      </c>
      <c r="B62" s="84" t="s">
        <v>421</v>
      </c>
      <c r="C62" s="1" t="s">
        <v>16</v>
      </c>
      <c r="D62" s="155">
        <v>864</v>
      </c>
      <c r="E62" s="194">
        <v>4.95</v>
      </c>
      <c r="F62" s="194"/>
      <c r="G62" s="194"/>
      <c r="H62" s="194">
        <v>11.02</v>
      </c>
      <c r="I62" s="220">
        <v>5.5</v>
      </c>
      <c r="J62" s="221">
        <f t="shared" si="4"/>
        <v>4752</v>
      </c>
      <c r="K62" s="221">
        <v>3.5</v>
      </c>
      <c r="L62" s="221">
        <f t="shared" si="5"/>
        <v>3024</v>
      </c>
      <c r="M62" s="206">
        <f>AVERAGE(E62,H62,I62)</f>
        <v>7.1566666666666663</v>
      </c>
      <c r="N62" s="206">
        <f t="shared" si="6"/>
        <v>6183.36</v>
      </c>
      <c r="O62" s="83"/>
      <c r="P62" s="83"/>
      <c r="Q62" s="83"/>
      <c r="R62" s="83"/>
      <c r="S62" s="83"/>
    </row>
    <row r="63" spans="1:19" ht="63.75" x14ac:dyDescent="0.25">
      <c r="A63" s="160">
        <v>51</v>
      </c>
      <c r="B63" s="84" t="s">
        <v>422</v>
      </c>
      <c r="C63" s="1" t="s">
        <v>16</v>
      </c>
      <c r="D63" s="155">
        <v>540</v>
      </c>
      <c r="E63" s="194">
        <v>7.5</v>
      </c>
      <c r="F63" s="194"/>
      <c r="G63" s="194">
        <v>6.31</v>
      </c>
      <c r="H63" s="194">
        <v>11.02</v>
      </c>
      <c r="I63" s="220">
        <v>5.5</v>
      </c>
      <c r="J63" s="221">
        <f t="shared" si="4"/>
        <v>2970</v>
      </c>
      <c r="K63" s="221">
        <v>3.5</v>
      </c>
      <c r="L63" s="221">
        <f t="shared" si="5"/>
        <v>1890</v>
      </c>
      <c r="M63" s="206">
        <f>AVERAGE(E63,G63,I63)</f>
        <v>6.4366666666666665</v>
      </c>
      <c r="N63" s="206">
        <f t="shared" si="6"/>
        <v>3475.7999999999997</v>
      </c>
      <c r="O63" s="83"/>
      <c r="P63" s="83"/>
      <c r="Q63" s="83"/>
      <c r="R63" s="83"/>
      <c r="S63" s="83"/>
    </row>
    <row r="64" spans="1:19" ht="74.099999999999994" customHeight="1" x14ac:dyDescent="0.25">
      <c r="A64" s="160">
        <v>52</v>
      </c>
      <c r="B64" s="84" t="s">
        <v>423</v>
      </c>
      <c r="C64" s="1" t="s">
        <v>16</v>
      </c>
      <c r="D64" s="155">
        <v>1200</v>
      </c>
      <c r="E64" s="194"/>
      <c r="F64" s="194"/>
      <c r="G64" s="194">
        <v>7.29</v>
      </c>
      <c r="H64" s="194">
        <v>11.02</v>
      </c>
      <c r="I64" s="220">
        <v>5.5</v>
      </c>
      <c r="J64" s="221">
        <f t="shared" si="4"/>
        <v>6600</v>
      </c>
      <c r="K64" s="221">
        <v>3.5</v>
      </c>
      <c r="L64" s="221">
        <f t="shared" si="5"/>
        <v>4200</v>
      </c>
      <c r="M64" s="206">
        <f>AVERAGE(G64,H64,I64)</f>
        <v>7.9366666666666665</v>
      </c>
      <c r="N64" s="206">
        <f t="shared" si="6"/>
        <v>9524</v>
      </c>
      <c r="O64" s="83"/>
      <c r="P64" s="83"/>
      <c r="Q64" s="83"/>
      <c r="R64" s="83"/>
      <c r="S64" s="83"/>
    </row>
    <row r="65" spans="1:19" ht="117.6" customHeight="1" x14ac:dyDescent="0.25">
      <c r="A65" s="160">
        <v>53</v>
      </c>
      <c r="B65" s="84" t="s">
        <v>424</v>
      </c>
      <c r="C65" s="1" t="s">
        <v>16</v>
      </c>
      <c r="D65" s="155">
        <v>72</v>
      </c>
      <c r="E65" s="194"/>
      <c r="F65" s="194"/>
      <c r="G65" s="194"/>
      <c r="H65" s="194">
        <v>10.39</v>
      </c>
      <c r="I65" s="220">
        <v>5</v>
      </c>
      <c r="J65" s="221">
        <f t="shared" si="4"/>
        <v>360</v>
      </c>
      <c r="K65" s="221">
        <v>10</v>
      </c>
      <c r="L65" s="221">
        <f t="shared" si="5"/>
        <v>720</v>
      </c>
      <c r="M65" s="206">
        <f t="shared" ref="M65:M71" si="7">AVERAGE(H65,I65,K65)</f>
        <v>8.4633333333333329</v>
      </c>
      <c r="N65" s="206">
        <f t="shared" si="6"/>
        <v>609.36</v>
      </c>
      <c r="O65" s="83"/>
      <c r="P65" s="83"/>
      <c r="Q65" s="83"/>
      <c r="R65" s="83"/>
      <c r="S65" s="83"/>
    </row>
    <row r="66" spans="1:19" ht="125.1" customHeight="1" x14ac:dyDescent="0.25">
      <c r="A66" s="160">
        <v>54</v>
      </c>
      <c r="B66" s="84" t="s">
        <v>425</v>
      </c>
      <c r="C66" s="1" t="s">
        <v>16</v>
      </c>
      <c r="D66" s="155">
        <v>144</v>
      </c>
      <c r="E66" s="194"/>
      <c r="F66" s="194"/>
      <c r="G66" s="194"/>
      <c r="H66" s="194">
        <v>29.73</v>
      </c>
      <c r="I66" s="220">
        <v>16.899999999999999</v>
      </c>
      <c r="J66" s="221">
        <f t="shared" si="4"/>
        <v>2433.6</v>
      </c>
      <c r="K66" s="221">
        <v>12</v>
      </c>
      <c r="L66" s="221">
        <f t="shared" si="5"/>
        <v>1728</v>
      </c>
      <c r="M66" s="206">
        <f t="shared" si="7"/>
        <v>19.543333333333333</v>
      </c>
      <c r="N66" s="206">
        <f t="shared" si="6"/>
        <v>2814.24</v>
      </c>
      <c r="O66" s="83"/>
      <c r="P66" s="83"/>
      <c r="Q66" s="83"/>
      <c r="R66" s="83"/>
      <c r="S66" s="83"/>
    </row>
    <row r="67" spans="1:19" ht="51" x14ac:dyDescent="0.25">
      <c r="A67" s="160">
        <v>55</v>
      </c>
      <c r="B67" s="84" t="s">
        <v>426</v>
      </c>
      <c r="C67" s="1" t="s">
        <v>16</v>
      </c>
      <c r="D67" s="155">
        <v>48</v>
      </c>
      <c r="E67" s="194"/>
      <c r="F67" s="194"/>
      <c r="G67" s="194"/>
      <c r="H67" s="194">
        <v>29.27</v>
      </c>
      <c r="I67" s="220">
        <v>16.899999999999999</v>
      </c>
      <c r="J67" s="221">
        <f t="shared" si="4"/>
        <v>811.19999999999993</v>
      </c>
      <c r="K67" s="221">
        <v>15</v>
      </c>
      <c r="L67" s="221">
        <f t="shared" si="5"/>
        <v>720</v>
      </c>
      <c r="M67" s="206">
        <f t="shared" si="7"/>
        <v>20.39</v>
      </c>
      <c r="N67" s="206">
        <f t="shared" si="6"/>
        <v>978.72</v>
      </c>
      <c r="O67" s="83"/>
      <c r="P67" s="83"/>
      <c r="Q67" s="83"/>
      <c r="R67" s="83"/>
      <c r="S67" s="83"/>
    </row>
    <row r="68" spans="1:19" ht="63.75" x14ac:dyDescent="0.25">
      <c r="A68" s="160">
        <v>56</v>
      </c>
      <c r="B68" s="84" t="s">
        <v>427</v>
      </c>
      <c r="C68" s="1" t="s">
        <v>56</v>
      </c>
      <c r="D68" s="155">
        <v>144</v>
      </c>
      <c r="E68" s="194"/>
      <c r="F68" s="194"/>
      <c r="G68" s="194"/>
      <c r="H68" s="194">
        <v>45.8</v>
      </c>
      <c r="I68" s="220">
        <v>39.9</v>
      </c>
      <c r="J68" s="221">
        <f t="shared" si="4"/>
        <v>5745.5999999999995</v>
      </c>
      <c r="K68" s="221">
        <v>45</v>
      </c>
      <c r="L68" s="221">
        <f t="shared" si="5"/>
        <v>6480</v>
      </c>
      <c r="M68" s="206">
        <f t="shared" si="7"/>
        <v>43.566666666666663</v>
      </c>
      <c r="N68" s="206">
        <f t="shared" si="6"/>
        <v>6273.5999999999995</v>
      </c>
      <c r="O68" s="83"/>
      <c r="P68" s="83"/>
      <c r="Q68" s="83"/>
      <c r="R68" s="83"/>
      <c r="S68" s="83"/>
    </row>
    <row r="69" spans="1:19" ht="38.25" x14ac:dyDescent="0.25">
      <c r="A69" s="160">
        <v>57</v>
      </c>
      <c r="B69" s="84" t="s">
        <v>428</v>
      </c>
      <c r="C69" s="1" t="s">
        <v>56</v>
      </c>
      <c r="D69" s="155">
        <v>360</v>
      </c>
      <c r="E69" s="194"/>
      <c r="F69" s="194"/>
      <c r="G69" s="194"/>
      <c r="H69" s="194">
        <v>3.17</v>
      </c>
      <c r="I69" s="220">
        <v>1.9</v>
      </c>
      <c r="J69" s="221">
        <f t="shared" si="4"/>
        <v>684</v>
      </c>
      <c r="K69" s="221">
        <v>1.1000000000000001</v>
      </c>
      <c r="L69" s="221">
        <f t="shared" si="5"/>
        <v>396.00000000000006</v>
      </c>
      <c r="M69" s="206">
        <f t="shared" si="7"/>
        <v>2.0566666666666666</v>
      </c>
      <c r="N69" s="206">
        <f t="shared" si="6"/>
        <v>740.4</v>
      </c>
      <c r="O69" s="83"/>
      <c r="P69" s="83"/>
      <c r="Q69" s="83"/>
      <c r="R69" s="83"/>
      <c r="S69" s="83"/>
    </row>
    <row r="70" spans="1:19" ht="55.5" customHeight="1" x14ac:dyDescent="0.25">
      <c r="A70" s="160">
        <v>58</v>
      </c>
      <c r="B70" s="158" t="s">
        <v>73</v>
      </c>
      <c r="C70" s="1" t="s">
        <v>56</v>
      </c>
      <c r="D70" s="155">
        <v>720</v>
      </c>
      <c r="E70" s="194"/>
      <c r="F70" s="194"/>
      <c r="G70" s="194"/>
      <c r="H70" s="194">
        <v>1.21</v>
      </c>
      <c r="I70" s="220">
        <v>1.9</v>
      </c>
      <c r="J70" s="221">
        <f t="shared" si="4"/>
        <v>1368</v>
      </c>
      <c r="K70" s="221">
        <v>1</v>
      </c>
      <c r="L70" s="221">
        <f t="shared" si="5"/>
        <v>720</v>
      </c>
      <c r="M70" s="206">
        <f t="shared" si="7"/>
        <v>1.3699999999999999</v>
      </c>
      <c r="N70" s="206">
        <f t="shared" si="6"/>
        <v>986.39999999999986</v>
      </c>
      <c r="O70" s="83"/>
      <c r="P70" s="83"/>
      <c r="Q70" s="83"/>
      <c r="R70" s="83"/>
      <c r="S70" s="83"/>
    </row>
    <row r="71" spans="1:19" ht="45.95" customHeight="1" x14ac:dyDescent="0.25">
      <c r="A71" s="160">
        <v>59</v>
      </c>
      <c r="B71" s="84" t="s">
        <v>429</v>
      </c>
      <c r="C71" s="1" t="s">
        <v>56</v>
      </c>
      <c r="D71" s="155">
        <v>72</v>
      </c>
      <c r="E71" s="194"/>
      <c r="F71" s="194"/>
      <c r="G71" s="194"/>
      <c r="H71" s="194">
        <v>24.33</v>
      </c>
      <c r="I71" s="220">
        <v>29.9</v>
      </c>
      <c r="J71" s="221">
        <f t="shared" si="4"/>
        <v>2152.7999999999997</v>
      </c>
      <c r="K71" s="221">
        <v>35</v>
      </c>
      <c r="L71" s="221">
        <f t="shared" si="5"/>
        <v>2520</v>
      </c>
      <c r="M71" s="206">
        <f t="shared" si="7"/>
        <v>29.743333333333329</v>
      </c>
      <c r="N71" s="206">
        <f t="shared" si="6"/>
        <v>2141.5199999999995</v>
      </c>
      <c r="O71" s="83"/>
      <c r="P71" s="83"/>
      <c r="Q71" s="83"/>
      <c r="R71" s="83"/>
      <c r="S71" s="83"/>
    </row>
    <row r="72" spans="1:19" ht="32.450000000000003" customHeight="1" x14ac:dyDescent="0.25">
      <c r="A72" s="160">
        <v>60</v>
      </c>
      <c r="B72" s="84" t="s">
        <v>430</v>
      </c>
      <c r="C72" s="1" t="s">
        <v>56</v>
      </c>
      <c r="D72" s="155">
        <v>360</v>
      </c>
      <c r="E72" s="194"/>
      <c r="F72" s="194"/>
      <c r="G72" s="194"/>
      <c r="H72" s="194">
        <v>167.95</v>
      </c>
      <c r="I72" s="220">
        <v>79</v>
      </c>
      <c r="J72" s="221">
        <f t="shared" si="4"/>
        <v>28440</v>
      </c>
      <c r="K72" s="221">
        <v>85</v>
      </c>
      <c r="L72" s="221">
        <f t="shared" si="5"/>
        <v>30600</v>
      </c>
      <c r="M72" s="206">
        <f>AVERAGE(I72,K72)</f>
        <v>82</v>
      </c>
      <c r="N72" s="206">
        <f t="shared" si="6"/>
        <v>29520</v>
      </c>
      <c r="O72" s="83"/>
      <c r="P72" s="83"/>
      <c r="Q72" s="83"/>
      <c r="R72" s="83"/>
      <c r="S72" s="83"/>
    </row>
    <row r="73" spans="1:19" ht="75" customHeight="1" x14ac:dyDescent="0.25">
      <c r="A73" s="160">
        <v>61</v>
      </c>
      <c r="B73" s="84" t="s">
        <v>431</v>
      </c>
      <c r="C73" s="1" t="s">
        <v>56</v>
      </c>
      <c r="D73" s="155">
        <v>216</v>
      </c>
      <c r="E73" s="194"/>
      <c r="F73" s="194"/>
      <c r="G73" s="194"/>
      <c r="H73" s="194">
        <v>8.44</v>
      </c>
      <c r="I73" s="220">
        <v>5</v>
      </c>
      <c r="J73" s="221">
        <f t="shared" si="4"/>
        <v>1080</v>
      </c>
      <c r="K73" s="221">
        <v>5.9</v>
      </c>
      <c r="L73" s="221">
        <f t="shared" si="5"/>
        <v>1274.4000000000001</v>
      </c>
      <c r="M73" s="206">
        <f>AVERAGE(H73,I73,K73)</f>
        <v>6.4466666666666663</v>
      </c>
      <c r="N73" s="206">
        <f t="shared" si="6"/>
        <v>1392.48</v>
      </c>
      <c r="O73" s="83"/>
      <c r="P73" s="83"/>
      <c r="Q73" s="83"/>
      <c r="R73" s="83"/>
      <c r="S73" s="83"/>
    </row>
    <row r="74" spans="1:19" ht="51.95" customHeight="1" x14ac:dyDescent="0.25">
      <c r="A74" s="160">
        <v>62</v>
      </c>
      <c r="B74" s="84" t="s">
        <v>493</v>
      </c>
      <c r="C74" s="84" t="s">
        <v>56</v>
      </c>
      <c r="D74" s="155">
        <v>432</v>
      </c>
      <c r="E74" s="194"/>
      <c r="F74" s="194">
        <v>5.95</v>
      </c>
      <c r="G74" s="194">
        <v>4.7</v>
      </c>
      <c r="H74" s="194">
        <v>15.9</v>
      </c>
      <c r="I74" s="220">
        <v>8.5</v>
      </c>
      <c r="J74" s="221">
        <f t="shared" si="4"/>
        <v>3672</v>
      </c>
      <c r="K74" s="221">
        <v>5.9</v>
      </c>
      <c r="L74" s="221">
        <f t="shared" si="5"/>
        <v>2548.8000000000002</v>
      </c>
      <c r="M74" s="206">
        <f>AVERAGE(F74,G74,I74,K74)</f>
        <v>6.2624999999999993</v>
      </c>
      <c r="N74" s="206">
        <f t="shared" si="6"/>
        <v>2705.3999999999996</v>
      </c>
      <c r="O74" s="83"/>
      <c r="P74" s="83"/>
      <c r="Q74" s="83"/>
      <c r="R74" s="83"/>
      <c r="S74" s="83"/>
    </row>
    <row r="75" spans="1:19" ht="47.1" customHeight="1" x14ac:dyDescent="0.25">
      <c r="A75" s="160">
        <v>63</v>
      </c>
      <c r="B75" s="84" t="s">
        <v>492</v>
      </c>
      <c r="C75" s="84" t="s">
        <v>56</v>
      </c>
      <c r="D75" s="155">
        <v>72</v>
      </c>
      <c r="E75" s="194"/>
      <c r="F75" s="194"/>
      <c r="G75" s="194">
        <v>12.72</v>
      </c>
      <c r="H75" s="194">
        <v>44.33</v>
      </c>
      <c r="I75" s="220">
        <v>25</v>
      </c>
      <c r="J75" s="221">
        <f t="shared" si="4"/>
        <v>1800</v>
      </c>
      <c r="K75" s="221">
        <v>35</v>
      </c>
      <c r="L75" s="221">
        <f t="shared" si="5"/>
        <v>2520</v>
      </c>
      <c r="M75" s="206">
        <f>AVERAGE(H75,I75,K75)</f>
        <v>34.776666666666664</v>
      </c>
      <c r="N75" s="206">
        <f t="shared" si="6"/>
        <v>2503.9199999999996</v>
      </c>
      <c r="O75" s="83"/>
      <c r="P75" s="83"/>
      <c r="Q75" s="83"/>
      <c r="R75" s="83"/>
      <c r="S75" s="83"/>
    </row>
    <row r="76" spans="1:19" ht="26.45" customHeight="1" x14ac:dyDescent="0.25">
      <c r="A76" s="160">
        <v>64</v>
      </c>
      <c r="B76" s="84" t="s">
        <v>432</v>
      </c>
      <c r="C76" s="1" t="s">
        <v>56</v>
      </c>
      <c r="D76" s="155">
        <v>360</v>
      </c>
      <c r="E76" s="194">
        <v>21</v>
      </c>
      <c r="F76" s="194"/>
      <c r="G76" s="194"/>
      <c r="H76" s="194">
        <v>11.39</v>
      </c>
      <c r="I76" s="220">
        <v>8</v>
      </c>
      <c r="J76" s="221">
        <f t="shared" si="4"/>
        <v>2880</v>
      </c>
      <c r="K76" s="221">
        <v>10</v>
      </c>
      <c r="L76" s="221">
        <f t="shared" si="5"/>
        <v>3600</v>
      </c>
      <c r="M76" s="206">
        <f>AVERAGE(H76,I76,K76)</f>
        <v>9.7966666666666669</v>
      </c>
      <c r="N76" s="206">
        <f t="shared" si="6"/>
        <v>3526.8</v>
      </c>
      <c r="O76" s="83"/>
      <c r="P76" s="83"/>
      <c r="Q76" s="83"/>
      <c r="R76" s="83"/>
      <c r="S76" s="83"/>
    </row>
    <row r="77" spans="1:19" ht="23.45" customHeight="1" x14ac:dyDescent="0.25">
      <c r="A77" s="160">
        <v>65</v>
      </c>
      <c r="B77" s="84" t="s">
        <v>433</v>
      </c>
      <c r="C77" s="1" t="s">
        <v>56</v>
      </c>
      <c r="D77" s="155">
        <v>360</v>
      </c>
      <c r="E77" s="194"/>
      <c r="F77" s="194"/>
      <c r="G77" s="194"/>
      <c r="H77" s="194">
        <v>11.39</v>
      </c>
      <c r="I77" s="220">
        <v>5</v>
      </c>
      <c r="J77" s="221">
        <f t="shared" ref="J77:J108" si="8">I77*D77</f>
        <v>1800</v>
      </c>
      <c r="K77" s="221">
        <v>3.9</v>
      </c>
      <c r="L77" s="221">
        <f t="shared" ref="L77:L108" si="9">K77*D77</f>
        <v>1404</v>
      </c>
      <c r="M77" s="206">
        <f>AVERAGE(H77,I77,K77)</f>
        <v>6.7633333333333328</v>
      </c>
      <c r="N77" s="206">
        <f t="shared" ref="N77:N108" si="10">M77*D77</f>
        <v>2434.7999999999997</v>
      </c>
      <c r="O77" s="83"/>
      <c r="P77" s="83"/>
      <c r="Q77" s="83"/>
      <c r="R77" s="83"/>
      <c r="S77" s="83"/>
    </row>
    <row r="78" spans="1:19" ht="68.099999999999994" customHeight="1" x14ac:dyDescent="0.25">
      <c r="A78" s="160">
        <v>66</v>
      </c>
      <c r="B78" s="84" t="s">
        <v>434</v>
      </c>
      <c r="C78" s="1" t="s">
        <v>56</v>
      </c>
      <c r="D78" s="155">
        <v>3600</v>
      </c>
      <c r="E78" s="194">
        <v>2.91</v>
      </c>
      <c r="F78" s="194"/>
      <c r="G78" s="194"/>
      <c r="H78" s="194"/>
      <c r="I78" s="220">
        <v>3.5</v>
      </c>
      <c r="J78" s="221">
        <f t="shared" si="8"/>
        <v>12600</v>
      </c>
      <c r="K78" s="221">
        <v>3.5</v>
      </c>
      <c r="L78" s="221">
        <f t="shared" si="9"/>
        <v>12600</v>
      </c>
      <c r="M78" s="206">
        <f>AVERAGE(E78,I78,K78)</f>
        <v>3.3033333333333332</v>
      </c>
      <c r="N78" s="206">
        <f t="shared" si="10"/>
        <v>11892</v>
      </c>
      <c r="O78" s="83"/>
      <c r="P78" s="83"/>
      <c r="Q78" s="83"/>
      <c r="R78" s="83"/>
      <c r="S78" s="83"/>
    </row>
    <row r="79" spans="1:19" ht="62.45" customHeight="1" x14ac:dyDescent="0.25">
      <c r="A79" s="160">
        <v>67</v>
      </c>
      <c r="B79" s="84" t="s">
        <v>435</v>
      </c>
      <c r="C79" s="1" t="s">
        <v>74</v>
      </c>
      <c r="D79" s="155">
        <v>2880</v>
      </c>
      <c r="E79" s="194">
        <v>92</v>
      </c>
      <c r="F79" s="194"/>
      <c r="G79" s="194">
        <v>76.75</v>
      </c>
      <c r="H79" s="194">
        <v>149.9</v>
      </c>
      <c r="I79" s="220">
        <v>89.9</v>
      </c>
      <c r="J79" s="221">
        <f t="shared" si="8"/>
        <v>258912.00000000003</v>
      </c>
      <c r="K79" s="221">
        <v>70</v>
      </c>
      <c r="L79" s="221">
        <f t="shared" si="9"/>
        <v>201600</v>
      </c>
      <c r="M79" s="206">
        <f>AVERAGE(E79,G79,I79,K79)</f>
        <v>82.162499999999994</v>
      </c>
      <c r="N79" s="206">
        <f t="shared" si="10"/>
        <v>236627.99999999997</v>
      </c>
      <c r="O79" s="83"/>
      <c r="P79" s="83"/>
      <c r="Q79" s="83"/>
      <c r="R79" s="83"/>
      <c r="S79" s="83"/>
    </row>
    <row r="80" spans="1:19" ht="63" customHeight="1" x14ac:dyDescent="0.25">
      <c r="A80" s="160">
        <v>68</v>
      </c>
      <c r="B80" s="84" t="s">
        <v>436</v>
      </c>
      <c r="C80" s="1" t="s">
        <v>74</v>
      </c>
      <c r="D80" s="155">
        <v>8400</v>
      </c>
      <c r="E80" s="194">
        <v>10.61</v>
      </c>
      <c r="F80" s="194"/>
      <c r="G80" s="194"/>
      <c r="H80" s="194">
        <v>80.180000000000007</v>
      </c>
      <c r="I80" s="220">
        <v>69</v>
      </c>
      <c r="J80" s="221">
        <f t="shared" si="8"/>
        <v>579600</v>
      </c>
      <c r="K80" s="221">
        <v>25</v>
      </c>
      <c r="L80" s="221">
        <f t="shared" si="9"/>
        <v>210000</v>
      </c>
      <c r="M80" s="206">
        <f>AVERAGE(H80,I80,)</f>
        <v>49.726666666666667</v>
      </c>
      <c r="N80" s="206">
        <f t="shared" si="10"/>
        <v>417704</v>
      </c>
      <c r="O80" s="83"/>
      <c r="P80" s="83"/>
      <c r="Q80" s="83"/>
      <c r="R80" s="83"/>
      <c r="S80" s="83"/>
    </row>
    <row r="81" spans="1:19" ht="22.5" customHeight="1" x14ac:dyDescent="0.25">
      <c r="A81" s="160">
        <v>69</v>
      </c>
      <c r="B81" s="84" t="s">
        <v>437</v>
      </c>
      <c r="C81" s="1" t="s">
        <v>56</v>
      </c>
      <c r="D81" s="155">
        <v>5280</v>
      </c>
      <c r="E81" s="194"/>
      <c r="F81" s="194"/>
      <c r="G81" s="194"/>
      <c r="H81" s="194">
        <v>3.65</v>
      </c>
      <c r="I81" s="220">
        <v>1.5</v>
      </c>
      <c r="J81" s="221">
        <f t="shared" si="8"/>
        <v>7920</v>
      </c>
      <c r="K81" s="221">
        <v>0.9</v>
      </c>
      <c r="L81" s="221">
        <f t="shared" si="9"/>
        <v>4752</v>
      </c>
      <c r="M81" s="206">
        <f>AVERAGE(H81,I81,K81)</f>
        <v>2.0166666666666671</v>
      </c>
      <c r="N81" s="206">
        <f t="shared" si="10"/>
        <v>10648.000000000002</v>
      </c>
      <c r="O81" s="83"/>
      <c r="P81" s="83"/>
      <c r="Q81" s="83"/>
      <c r="R81" s="83"/>
      <c r="S81" s="83"/>
    </row>
    <row r="82" spans="1:19" ht="23.45" customHeight="1" x14ac:dyDescent="0.25">
      <c r="A82" s="160">
        <v>70</v>
      </c>
      <c r="B82" s="84" t="s">
        <v>438</v>
      </c>
      <c r="C82" s="1" t="s">
        <v>56</v>
      </c>
      <c r="D82" s="155">
        <v>72</v>
      </c>
      <c r="E82" s="194"/>
      <c r="F82" s="194"/>
      <c r="G82" s="194"/>
      <c r="H82" s="194">
        <v>12.5</v>
      </c>
      <c r="I82" s="220">
        <v>6.9</v>
      </c>
      <c r="J82" s="221">
        <f t="shared" si="8"/>
        <v>496.8</v>
      </c>
      <c r="K82" s="221">
        <v>10</v>
      </c>
      <c r="L82" s="221">
        <f t="shared" si="9"/>
        <v>720</v>
      </c>
      <c r="M82" s="206">
        <f>AVERAGE(H82,I82,K82)</f>
        <v>9.7999999999999989</v>
      </c>
      <c r="N82" s="206">
        <f t="shared" si="10"/>
        <v>705.59999999999991</v>
      </c>
      <c r="O82" s="83"/>
      <c r="P82" s="83"/>
      <c r="Q82" s="83"/>
      <c r="R82" s="83"/>
      <c r="S82" s="83"/>
    </row>
    <row r="83" spans="1:19" ht="67.5" customHeight="1" x14ac:dyDescent="0.25">
      <c r="A83" s="160">
        <v>71</v>
      </c>
      <c r="B83" s="84" t="s">
        <v>439</v>
      </c>
      <c r="C83" s="1" t="s">
        <v>56</v>
      </c>
      <c r="D83" s="155">
        <v>300</v>
      </c>
      <c r="E83" s="194"/>
      <c r="F83" s="194"/>
      <c r="G83" s="194"/>
      <c r="H83" s="194">
        <v>2.09</v>
      </c>
      <c r="I83" s="220">
        <v>2.9</v>
      </c>
      <c r="J83" s="221">
        <f t="shared" si="8"/>
        <v>870</v>
      </c>
      <c r="K83" s="221">
        <v>1</v>
      </c>
      <c r="L83" s="221">
        <f t="shared" si="9"/>
        <v>300</v>
      </c>
      <c r="M83" s="206">
        <f>AVERAGE(H83,I83,K83)</f>
        <v>1.9966666666666668</v>
      </c>
      <c r="N83" s="206">
        <f t="shared" si="10"/>
        <v>599</v>
      </c>
      <c r="O83" s="83"/>
      <c r="P83" s="83"/>
      <c r="Q83" s="83"/>
      <c r="R83" s="83"/>
      <c r="S83" s="83"/>
    </row>
    <row r="84" spans="1:19" ht="53.1" customHeight="1" x14ac:dyDescent="0.25">
      <c r="A84" s="160">
        <v>72</v>
      </c>
      <c r="B84" s="84" t="s">
        <v>440</v>
      </c>
      <c r="C84" s="1" t="s">
        <v>56</v>
      </c>
      <c r="D84" s="155">
        <v>144</v>
      </c>
      <c r="E84" s="194"/>
      <c r="F84" s="194"/>
      <c r="G84" s="194"/>
      <c r="H84" s="194">
        <v>38.99</v>
      </c>
      <c r="I84" s="220">
        <v>22</v>
      </c>
      <c r="J84" s="221">
        <f t="shared" si="8"/>
        <v>3168</v>
      </c>
      <c r="K84" s="221">
        <v>30</v>
      </c>
      <c r="L84" s="221">
        <f t="shared" si="9"/>
        <v>4320</v>
      </c>
      <c r="M84" s="206">
        <f>AVERAGE(H84,I84,K84)</f>
        <v>30.330000000000002</v>
      </c>
      <c r="N84" s="206">
        <f t="shared" si="10"/>
        <v>4367.5200000000004</v>
      </c>
      <c r="O84" s="83"/>
      <c r="P84" s="83"/>
      <c r="Q84" s="83"/>
      <c r="R84" s="83"/>
      <c r="S84" s="83"/>
    </row>
    <row r="85" spans="1:19" ht="25.5" x14ac:dyDescent="0.25">
      <c r="A85" s="160">
        <v>73</v>
      </c>
      <c r="B85" s="84" t="s">
        <v>441</v>
      </c>
      <c r="C85" s="1" t="s">
        <v>56</v>
      </c>
      <c r="D85" s="155">
        <v>1800</v>
      </c>
      <c r="E85" s="194">
        <v>5.45</v>
      </c>
      <c r="F85" s="194"/>
      <c r="G85" s="194"/>
      <c r="H85" s="197">
        <v>22.61</v>
      </c>
      <c r="I85" s="220">
        <v>16.899999999999999</v>
      </c>
      <c r="J85" s="221">
        <f t="shared" si="8"/>
        <v>30419.999999999996</v>
      </c>
      <c r="K85" s="221">
        <v>20</v>
      </c>
      <c r="L85" s="221">
        <f t="shared" si="9"/>
        <v>36000</v>
      </c>
      <c r="M85" s="206">
        <f>AVERAGE(H85,I85,K85)</f>
        <v>19.836666666666666</v>
      </c>
      <c r="N85" s="206">
        <f t="shared" si="10"/>
        <v>35706</v>
      </c>
      <c r="O85" s="83"/>
      <c r="P85" s="83"/>
      <c r="Q85" s="83"/>
      <c r="R85" s="83"/>
      <c r="S85" s="83"/>
    </row>
    <row r="86" spans="1:19" ht="51" x14ac:dyDescent="0.25">
      <c r="A86" s="160">
        <v>74</v>
      </c>
      <c r="B86" s="84" t="s">
        <v>442</v>
      </c>
      <c r="C86" s="1" t="s">
        <v>55</v>
      </c>
      <c r="D86" s="155">
        <v>180</v>
      </c>
      <c r="E86" s="194"/>
      <c r="F86" s="194"/>
      <c r="G86" s="194"/>
      <c r="H86" s="194"/>
      <c r="I86" s="220">
        <v>17.899999999999999</v>
      </c>
      <c r="J86" s="221">
        <f t="shared" si="8"/>
        <v>3221.9999999999995</v>
      </c>
      <c r="K86" s="221">
        <v>21</v>
      </c>
      <c r="L86" s="221">
        <f t="shared" si="9"/>
        <v>3780</v>
      </c>
      <c r="M86" s="206">
        <f>AVERAGE(I86,K86)</f>
        <v>19.45</v>
      </c>
      <c r="N86" s="206">
        <f t="shared" si="10"/>
        <v>3501</v>
      </c>
      <c r="O86" s="83"/>
      <c r="P86" s="83"/>
      <c r="Q86" s="83"/>
      <c r="R86" s="83"/>
      <c r="S86" s="83"/>
    </row>
    <row r="87" spans="1:19" ht="37.5" customHeight="1" x14ac:dyDescent="0.25">
      <c r="A87" s="160">
        <v>75</v>
      </c>
      <c r="B87" s="84" t="s">
        <v>443</v>
      </c>
      <c r="C87" s="1" t="s">
        <v>56</v>
      </c>
      <c r="D87" s="155">
        <v>144</v>
      </c>
      <c r="E87" s="194"/>
      <c r="F87" s="194"/>
      <c r="G87" s="194"/>
      <c r="H87" s="194"/>
      <c r="I87" s="220">
        <v>33.9</v>
      </c>
      <c r="J87" s="221">
        <f t="shared" si="8"/>
        <v>4881.5999999999995</v>
      </c>
      <c r="K87" s="221">
        <v>30</v>
      </c>
      <c r="L87" s="221">
        <f t="shared" si="9"/>
        <v>4320</v>
      </c>
      <c r="M87" s="206">
        <f>AVERAGE(I87,K87)</f>
        <v>31.95</v>
      </c>
      <c r="N87" s="206">
        <f t="shared" si="10"/>
        <v>4600.8</v>
      </c>
      <c r="O87" s="83"/>
      <c r="P87" s="83"/>
      <c r="Q87" s="83"/>
      <c r="R87" s="83"/>
      <c r="S87" s="83"/>
    </row>
    <row r="88" spans="1:19" ht="26.45" customHeight="1" x14ac:dyDescent="0.25">
      <c r="A88" s="160">
        <v>76</v>
      </c>
      <c r="B88" s="84" t="s">
        <v>444</v>
      </c>
      <c r="C88" s="1" t="s">
        <v>56</v>
      </c>
      <c r="D88" s="155">
        <v>240</v>
      </c>
      <c r="E88" s="194">
        <v>42.72</v>
      </c>
      <c r="F88" s="194"/>
      <c r="G88" s="194"/>
      <c r="H88" s="194">
        <v>53.75</v>
      </c>
      <c r="I88" s="220">
        <v>29.8</v>
      </c>
      <c r="J88" s="221">
        <f t="shared" si="8"/>
        <v>7152</v>
      </c>
      <c r="K88" s="221">
        <v>30</v>
      </c>
      <c r="L88" s="221">
        <f t="shared" si="9"/>
        <v>7200</v>
      </c>
      <c r="M88" s="206">
        <f>AVERAGE(E88,I88,K88)</f>
        <v>34.173333333333332</v>
      </c>
      <c r="N88" s="206">
        <f t="shared" si="10"/>
        <v>8201.6</v>
      </c>
      <c r="O88" s="83"/>
      <c r="P88" s="83"/>
      <c r="Q88" s="83"/>
      <c r="R88" s="83"/>
      <c r="S88" s="83"/>
    </row>
    <row r="89" spans="1:19" ht="28.5" customHeight="1" x14ac:dyDescent="0.25">
      <c r="A89" s="160">
        <v>77</v>
      </c>
      <c r="B89" s="84" t="s">
        <v>445</v>
      </c>
      <c r="C89" s="1" t="s">
        <v>56</v>
      </c>
      <c r="D89" s="155">
        <v>240</v>
      </c>
      <c r="E89" s="194">
        <v>42.72</v>
      </c>
      <c r="F89" s="194"/>
      <c r="G89" s="194"/>
      <c r="H89" s="194">
        <v>32.5</v>
      </c>
      <c r="I89" s="220">
        <v>20</v>
      </c>
      <c r="J89" s="221">
        <f t="shared" si="8"/>
        <v>4800</v>
      </c>
      <c r="K89" s="221">
        <v>13</v>
      </c>
      <c r="L89" s="221">
        <f t="shared" si="9"/>
        <v>3120</v>
      </c>
      <c r="M89" s="206">
        <f>AVERAGE(E89,H89,I89)</f>
        <v>31.74</v>
      </c>
      <c r="N89" s="206">
        <f t="shared" si="10"/>
        <v>7617.5999999999995</v>
      </c>
      <c r="O89" s="83"/>
      <c r="P89" s="83"/>
      <c r="Q89" s="83"/>
      <c r="R89" s="83"/>
      <c r="S89" s="83"/>
    </row>
    <row r="90" spans="1:19" ht="40.5" customHeight="1" x14ac:dyDescent="0.25">
      <c r="A90" s="160">
        <v>78</v>
      </c>
      <c r="B90" s="84" t="s">
        <v>446</v>
      </c>
      <c r="C90" s="1" t="s">
        <v>56</v>
      </c>
      <c r="D90" s="155">
        <v>360</v>
      </c>
      <c r="E90" s="194"/>
      <c r="F90" s="194"/>
      <c r="G90" s="194"/>
      <c r="H90" s="194"/>
      <c r="I90" s="220">
        <v>8</v>
      </c>
      <c r="J90" s="221">
        <f t="shared" si="8"/>
        <v>2880</v>
      </c>
      <c r="K90" s="221">
        <v>7.1</v>
      </c>
      <c r="L90" s="221">
        <f t="shared" si="9"/>
        <v>2556</v>
      </c>
      <c r="M90" s="206">
        <f>AVERAGE(I90,K90)</f>
        <v>7.55</v>
      </c>
      <c r="N90" s="206">
        <f t="shared" si="10"/>
        <v>2718</v>
      </c>
      <c r="O90" s="83"/>
      <c r="P90" s="83"/>
      <c r="Q90" s="83"/>
      <c r="R90" s="83"/>
      <c r="S90" s="83"/>
    </row>
    <row r="91" spans="1:19" ht="98.45" customHeight="1" x14ac:dyDescent="0.25">
      <c r="A91" s="160">
        <v>79</v>
      </c>
      <c r="B91" s="84" t="s">
        <v>447</v>
      </c>
      <c r="C91" s="84" t="s">
        <v>57</v>
      </c>
      <c r="D91" s="155">
        <v>216</v>
      </c>
      <c r="E91" s="194"/>
      <c r="F91" s="194"/>
      <c r="G91" s="194"/>
      <c r="H91" s="194">
        <v>120.99</v>
      </c>
      <c r="I91" s="220">
        <v>49.9</v>
      </c>
      <c r="J91" s="221">
        <f t="shared" si="8"/>
        <v>10778.4</v>
      </c>
      <c r="K91" s="221">
        <v>50</v>
      </c>
      <c r="L91" s="221">
        <f t="shared" si="9"/>
        <v>10800</v>
      </c>
      <c r="M91" s="206">
        <f>AVERAGE(I91,K91)</f>
        <v>49.95</v>
      </c>
      <c r="N91" s="206">
        <f t="shared" si="10"/>
        <v>10789.2</v>
      </c>
      <c r="O91" s="83"/>
      <c r="P91" s="83"/>
      <c r="Q91" s="83"/>
      <c r="R91" s="83"/>
      <c r="S91" s="83"/>
    </row>
    <row r="92" spans="1:19" ht="49.5" customHeight="1" x14ac:dyDescent="0.25">
      <c r="A92" s="160">
        <v>80</v>
      </c>
      <c r="B92" s="84" t="s">
        <v>448</v>
      </c>
      <c r="C92" s="1" t="s">
        <v>56</v>
      </c>
      <c r="D92" s="155">
        <v>144</v>
      </c>
      <c r="E92" s="194">
        <v>23.5</v>
      </c>
      <c r="F92" s="194"/>
      <c r="G92" s="194">
        <v>48.11</v>
      </c>
      <c r="H92" s="194">
        <v>21.9</v>
      </c>
      <c r="I92" s="220">
        <v>99</v>
      </c>
      <c r="J92" s="221">
        <f t="shared" si="8"/>
        <v>14256</v>
      </c>
      <c r="K92" s="221">
        <v>122</v>
      </c>
      <c r="L92" s="221">
        <f t="shared" si="9"/>
        <v>17568</v>
      </c>
      <c r="M92" s="206">
        <f>AVERAGE(I92,K92)</f>
        <v>110.5</v>
      </c>
      <c r="N92" s="206">
        <f t="shared" si="10"/>
        <v>15912</v>
      </c>
      <c r="O92" s="83"/>
      <c r="P92" s="83"/>
      <c r="Q92" s="83"/>
      <c r="R92" s="83"/>
      <c r="S92" s="83"/>
    </row>
    <row r="93" spans="1:19" ht="36" customHeight="1" x14ac:dyDescent="0.25">
      <c r="A93" s="160">
        <v>81</v>
      </c>
      <c r="B93" s="84" t="s">
        <v>517</v>
      </c>
      <c r="C93" s="1" t="s">
        <v>56</v>
      </c>
      <c r="D93" s="155">
        <v>540</v>
      </c>
      <c r="E93" s="194">
        <v>37.43</v>
      </c>
      <c r="F93" s="194"/>
      <c r="G93" s="194"/>
      <c r="H93" s="194"/>
      <c r="I93" s="220">
        <v>29.9</v>
      </c>
      <c r="J93" s="221">
        <f t="shared" si="8"/>
        <v>16146</v>
      </c>
      <c r="K93" s="221">
        <v>16</v>
      </c>
      <c r="L93" s="221">
        <f t="shared" si="9"/>
        <v>8640</v>
      </c>
      <c r="M93" s="206">
        <f>AVERAGE(E93,I93)</f>
        <v>33.664999999999999</v>
      </c>
      <c r="N93" s="206">
        <f t="shared" si="10"/>
        <v>18179.099999999999</v>
      </c>
      <c r="O93" s="83"/>
      <c r="P93" s="83"/>
      <c r="Q93" s="83"/>
      <c r="R93" s="83"/>
      <c r="S93" s="83"/>
    </row>
    <row r="94" spans="1:19" ht="34.5" customHeight="1" x14ac:dyDescent="0.25">
      <c r="A94" s="160">
        <v>82</v>
      </c>
      <c r="B94" s="84" t="s">
        <v>518</v>
      </c>
      <c r="C94" s="1" t="s">
        <v>56</v>
      </c>
      <c r="D94" s="155">
        <v>540</v>
      </c>
      <c r="E94" s="194"/>
      <c r="F94" s="194"/>
      <c r="G94" s="194"/>
      <c r="H94" s="194"/>
      <c r="I94" s="220">
        <v>32.9</v>
      </c>
      <c r="J94" s="221">
        <f t="shared" si="8"/>
        <v>17766</v>
      </c>
      <c r="K94" s="221">
        <v>18</v>
      </c>
      <c r="L94" s="221">
        <f t="shared" si="9"/>
        <v>9720</v>
      </c>
      <c r="M94" s="206">
        <f>AVERAGE(I94,K94)</f>
        <v>25.45</v>
      </c>
      <c r="N94" s="206">
        <f t="shared" si="10"/>
        <v>13743</v>
      </c>
      <c r="O94" s="83"/>
      <c r="P94" s="83"/>
      <c r="Q94" s="83"/>
      <c r="R94" s="83"/>
      <c r="S94" s="83"/>
    </row>
    <row r="95" spans="1:19" ht="34.5" customHeight="1" x14ac:dyDescent="0.25">
      <c r="A95" s="160">
        <v>83</v>
      </c>
      <c r="B95" s="84" t="s">
        <v>449</v>
      </c>
      <c r="C95" s="1" t="s">
        <v>56</v>
      </c>
      <c r="D95" s="155">
        <v>540</v>
      </c>
      <c r="E95" s="194"/>
      <c r="F95" s="194"/>
      <c r="G95" s="194"/>
      <c r="H95" s="194"/>
      <c r="I95" s="220">
        <v>9.9</v>
      </c>
      <c r="J95" s="221">
        <f t="shared" si="8"/>
        <v>5346</v>
      </c>
      <c r="K95" s="221">
        <v>6.8</v>
      </c>
      <c r="L95" s="221">
        <f t="shared" si="9"/>
        <v>3672</v>
      </c>
      <c r="M95" s="206">
        <f>AVERAGE(I95,K95)</f>
        <v>8.35</v>
      </c>
      <c r="N95" s="206">
        <f t="shared" si="10"/>
        <v>4509</v>
      </c>
      <c r="O95" s="83"/>
      <c r="P95" s="83"/>
      <c r="Q95" s="83"/>
      <c r="R95" s="83"/>
      <c r="S95" s="83"/>
    </row>
    <row r="96" spans="1:19" ht="75.95" customHeight="1" x14ac:dyDescent="0.25">
      <c r="A96" s="160">
        <v>84</v>
      </c>
      <c r="B96" s="84" t="s">
        <v>450</v>
      </c>
      <c r="C96" s="1" t="s">
        <v>56</v>
      </c>
      <c r="D96" s="155">
        <v>1200</v>
      </c>
      <c r="E96" s="194">
        <v>2.5499999999999998</v>
      </c>
      <c r="F96" s="194"/>
      <c r="G96" s="194">
        <v>6.54</v>
      </c>
      <c r="H96" s="194">
        <v>11.15</v>
      </c>
      <c r="I96" s="220">
        <v>1.8</v>
      </c>
      <c r="J96" s="221">
        <f t="shared" si="8"/>
        <v>2160</v>
      </c>
      <c r="K96" s="221">
        <v>7.8</v>
      </c>
      <c r="L96" s="221">
        <f t="shared" si="9"/>
        <v>9360</v>
      </c>
      <c r="M96" s="206">
        <f>AVERAGE(G96,K96,H96)</f>
        <v>8.4966666666666679</v>
      </c>
      <c r="N96" s="206">
        <f t="shared" si="10"/>
        <v>10196.000000000002</v>
      </c>
      <c r="O96" s="83"/>
      <c r="P96" s="83"/>
      <c r="Q96" s="83"/>
      <c r="R96" s="83"/>
      <c r="S96" s="83"/>
    </row>
    <row r="97" spans="1:19" ht="110.1" customHeight="1" x14ac:dyDescent="0.25">
      <c r="A97" s="160">
        <v>85</v>
      </c>
      <c r="B97" s="84" t="s">
        <v>451</v>
      </c>
      <c r="C97" s="1" t="s">
        <v>75</v>
      </c>
      <c r="D97" s="155">
        <v>60</v>
      </c>
      <c r="E97" s="194"/>
      <c r="F97" s="194"/>
      <c r="G97" s="194"/>
      <c r="H97" s="194"/>
      <c r="I97" s="220">
        <v>9.9</v>
      </c>
      <c r="J97" s="221">
        <f t="shared" si="8"/>
        <v>594</v>
      </c>
      <c r="K97" s="221">
        <v>4.5</v>
      </c>
      <c r="L97" s="221">
        <f t="shared" si="9"/>
        <v>270</v>
      </c>
      <c r="M97" s="206">
        <f>AVERAGE(I97,K97)</f>
        <v>7.2</v>
      </c>
      <c r="N97" s="206">
        <f t="shared" si="10"/>
        <v>432</v>
      </c>
      <c r="O97" s="83"/>
      <c r="P97" s="83"/>
      <c r="Q97" s="83"/>
      <c r="R97" s="83"/>
      <c r="S97" s="83"/>
    </row>
    <row r="98" spans="1:19" ht="110.1" customHeight="1" x14ac:dyDescent="0.25">
      <c r="A98" s="160">
        <v>86</v>
      </c>
      <c r="B98" s="84" t="s">
        <v>452</v>
      </c>
      <c r="C98" s="84" t="s">
        <v>57</v>
      </c>
      <c r="D98" s="155">
        <v>720</v>
      </c>
      <c r="E98" s="194">
        <v>10.33</v>
      </c>
      <c r="F98" s="194">
        <v>20.68</v>
      </c>
      <c r="G98" s="194">
        <v>17.989999999999998</v>
      </c>
      <c r="H98" s="194"/>
      <c r="I98" s="220">
        <v>24.9</v>
      </c>
      <c r="J98" s="221">
        <f t="shared" si="8"/>
        <v>17928</v>
      </c>
      <c r="K98" s="221">
        <v>12</v>
      </c>
      <c r="L98" s="221">
        <f t="shared" si="9"/>
        <v>8640</v>
      </c>
      <c r="M98" s="206">
        <f>AVERAGE(F98,G98,I98)</f>
        <v>21.19</v>
      </c>
      <c r="N98" s="206">
        <f t="shared" si="10"/>
        <v>15256.800000000001</v>
      </c>
      <c r="O98" s="83"/>
      <c r="P98" s="83"/>
      <c r="Q98" s="83"/>
      <c r="R98" s="83"/>
      <c r="S98" s="83"/>
    </row>
    <row r="99" spans="1:19" ht="38.450000000000003" customHeight="1" x14ac:dyDescent="0.25">
      <c r="A99" s="160">
        <v>87</v>
      </c>
      <c r="B99" s="84" t="s">
        <v>453</v>
      </c>
      <c r="C99" s="1" t="s">
        <v>69</v>
      </c>
      <c r="D99" s="155">
        <v>324</v>
      </c>
      <c r="E99" s="194"/>
      <c r="F99" s="194"/>
      <c r="G99" s="194"/>
      <c r="H99" s="194">
        <v>19.899999999999999</v>
      </c>
      <c r="I99" s="220">
        <v>15.9</v>
      </c>
      <c r="J99" s="221">
        <f t="shared" si="8"/>
        <v>5151.6000000000004</v>
      </c>
      <c r="K99" s="221">
        <v>19.899999999999999</v>
      </c>
      <c r="L99" s="221">
        <f t="shared" si="9"/>
        <v>6447.5999999999995</v>
      </c>
      <c r="M99" s="206">
        <f>AVERAGE(H99,I99)</f>
        <v>17.899999999999999</v>
      </c>
      <c r="N99" s="206">
        <f t="shared" si="10"/>
        <v>5799.5999999999995</v>
      </c>
      <c r="O99" s="83"/>
      <c r="P99" s="83"/>
      <c r="Q99" s="83"/>
      <c r="R99" s="83"/>
      <c r="S99" s="83"/>
    </row>
    <row r="100" spans="1:19" ht="53.1" customHeight="1" x14ac:dyDescent="0.25">
      <c r="A100" s="160">
        <v>88</v>
      </c>
      <c r="B100" s="84" t="s">
        <v>454</v>
      </c>
      <c r="C100" s="1" t="s">
        <v>69</v>
      </c>
      <c r="D100" s="155">
        <v>108</v>
      </c>
      <c r="E100" s="194">
        <v>29.9</v>
      </c>
      <c r="F100" s="194">
        <v>32.99</v>
      </c>
      <c r="G100" s="194"/>
      <c r="H100" s="194">
        <v>62.57</v>
      </c>
      <c r="I100" s="220">
        <v>24.9</v>
      </c>
      <c r="J100" s="221">
        <f t="shared" si="8"/>
        <v>2689.2</v>
      </c>
      <c r="K100" s="221">
        <v>20</v>
      </c>
      <c r="L100" s="221">
        <f t="shared" si="9"/>
        <v>2160</v>
      </c>
      <c r="M100" s="206">
        <f>AVERAGE(E100,F100,I100,K100)</f>
        <v>26.947499999999998</v>
      </c>
      <c r="N100" s="206">
        <f t="shared" si="10"/>
        <v>2910.33</v>
      </c>
      <c r="O100" s="83"/>
      <c r="P100" s="83"/>
      <c r="Q100" s="83"/>
      <c r="R100" s="83"/>
      <c r="S100" s="83"/>
    </row>
    <row r="101" spans="1:19" ht="50.1" customHeight="1" x14ac:dyDescent="0.25">
      <c r="A101" s="160">
        <v>89</v>
      </c>
      <c r="B101" s="84" t="s">
        <v>455</v>
      </c>
      <c r="C101" s="1" t="s">
        <v>69</v>
      </c>
      <c r="D101" s="155">
        <v>720</v>
      </c>
      <c r="E101" s="194">
        <v>29.9</v>
      </c>
      <c r="F101" s="194">
        <v>32.99</v>
      </c>
      <c r="G101" s="194"/>
      <c r="H101" s="194">
        <v>56.88</v>
      </c>
      <c r="I101" s="220">
        <v>39.9</v>
      </c>
      <c r="J101" s="221">
        <f t="shared" si="8"/>
        <v>28728</v>
      </c>
      <c r="K101" s="221">
        <v>40</v>
      </c>
      <c r="L101" s="221">
        <f t="shared" si="9"/>
        <v>28800</v>
      </c>
      <c r="M101" s="206">
        <f>AVERAGE(E101,F101,I101,K101)</f>
        <v>35.697499999999998</v>
      </c>
      <c r="N101" s="206">
        <f t="shared" si="10"/>
        <v>25702.199999999997</v>
      </c>
      <c r="O101" s="83"/>
      <c r="P101" s="83"/>
      <c r="Q101" s="83"/>
      <c r="R101" s="83"/>
      <c r="S101" s="83"/>
    </row>
    <row r="102" spans="1:19" ht="50.45" customHeight="1" x14ac:dyDescent="0.25">
      <c r="A102" s="160">
        <v>90</v>
      </c>
      <c r="B102" s="84" t="s">
        <v>456</v>
      </c>
      <c r="C102" s="1" t="s">
        <v>69</v>
      </c>
      <c r="D102" s="155">
        <v>192</v>
      </c>
      <c r="E102" s="194">
        <v>29.9</v>
      </c>
      <c r="F102" s="194">
        <v>32.99</v>
      </c>
      <c r="G102" s="194"/>
      <c r="H102" s="194">
        <v>56.88</v>
      </c>
      <c r="I102" s="220">
        <v>44.9</v>
      </c>
      <c r="J102" s="221">
        <f t="shared" si="8"/>
        <v>8620.7999999999993</v>
      </c>
      <c r="K102" s="221">
        <v>45</v>
      </c>
      <c r="L102" s="221">
        <f t="shared" si="9"/>
        <v>8640</v>
      </c>
      <c r="M102" s="206">
        <f>AVERAGE(E102,F102,I102,K102)</f>
        <v>38.197499999999998</v>
      </c>
      <c r="N102" s="206">
        <f t="shared" si="10"/>
        <v>7333.92</v>
      </c>
      <c r="O102" s="83"/>
      <c r="P102" s="83"/>
      <c r="Q102" s="83"/>
      <c r="R102" s="83"/>
      <c r="S102" s="83"/>
    </row>
    <row r="103" spans="1:19" ht="38.25" x14ac:dyDescent="0.25">
      <c r="A103" s="160">
        <v>91</v>
      </c>
      <c r="B103" s="84" t="s">
        <v>457</v>
      </c>
      <c r="C103" s="1" t="s">
        <v>69</v>
      </c>
      <c r="D103" s="155">
        <v>192</v>
      </c>
      <c r="E103" s="194">
        <v>29.9</v>
      </c>
      <c r="F103" s="194">
        <v>32.99</v>
      </c>
      <c r="G103" s="194"/>
      <c r="H103" s="194">
        <v>56.88</v>
      </c>
      <c r="I103" s="220">
        <v>44.9</v>
      </c>
      <c r="J103" s="221">
        <f t="shared" si="8"/>
        <v>8620.7999999999993</v>
      </c>
      <c r="K103" s="221">
        <v>45</v>
      </c>
      <c r="L103" s="221">
        <f t="shared" si="9"/>
        <v>8640</v>
      </c>
      <c r="M103" s="206">
        <f>AVERAGE(E103,F103,I103,K103)</f>
        <v>38.197499999999998</v>
      </c>
      <c r="N103" s="206">
        <f t="shared" si="10"/>
        <v>7333.92</v>
      </c>
      <c r="O103" s="83"/>
      <c r="P103" s="83"/>
      <c r="Q103" s="83"/>
      <c r="R103" s="83"/>
      <c r="S103" s="83"/>
    </row>
    <row r="104" spans="1:19" ht="38.25" x14ac:dyDescent="0.25">
      <c r="A104" s="160">
        <v>92</v>
      </c>
      <c r="B104" s="84" t="s">
        <v>458</v>
      </c>
      <c r="C104" s="1" t="s">
        <v>69</v>
      </c>
      <c r="D104" s="155">
        <v>182</v>
      </c>
      <c r="E104" s="194">
        <v>29.9</v>
      </c>
      <c r="F104" s="194">
        <v>32.99</v>
      </c>
      <c r="G104" s="194"/>
      <c r="H104" s="194" t="s">
        <v>547</v>
      </c>
      <c r="I104" s="220">
        <v>44.9</v>
      </c>
      <c r="J104" s="221">
        <f t="shared" si="8"/>
        <v>8171.8</v>
      </c>
      <c r="K104" s="221">
        <v>45</v>
      </c>
      <c r="L104" s="221">
        <f t="shared" si="9"/>
        <v>8190</v>
      </c>
      <c r="M104" s="206">
        <f>AVERAGE(E104,F104,I104,K104)</f>
        <v>38.197499999999998</v>
      </c>
      <c r="N104" s="206">
        <f t="shared" si="10"/>
        <v>6951.9449999999997</v>
      </c>
      <c r="O104" s="83"/>
      <c r="P104" s="83"/>
      <c r="Q104" s="83"/>
      <c r="R104" s="83"/>
      <c r="S104" s="83"/>
    </row>
    <row r="105" spans="1:19" ht="27.6" customHeight="1" x14ac:dyDescent="0.25">
      <c r="A105" s="160">
        <v>93</v>
      </c>
      <c r="B105" s="84" t="s">
        <v>498</v>
      </c>
      <c r="C105" s="84" t="s">
        <v>56</v>
      </c>
      <c r="D105" s="155">
        <v>1144</v>
      </c>
      <c r="E105" s="194">
        <v>7.1</v>
      </c>
      <c r="F105" s="194">
        <v>17.25</v>
      </c>
      <c r="G105" s="194"/>
      <c r="H105" s="194">
        <v>11.46</v>
      </c>
      <c r="I105" s="220">
        <v>9.9</v>
      </c>
      <c r="J105" s="221">
        <f t="shared" si="8"/>
        <v>11325.6</v>
      </c>
      <c r="K105" s="221">
        <v>5.5</v>
      </c>
      <c r="L105" s="221">
        <f t="shared" si="9"/>
        <v>6292</v>
      </c>
      <c r="M105" s="206">
        <f>AVERAGE(E105,H105,I105)</f>
        <v>9.4866666666666664</v>
      </c>
      <c r="N105" s="206">
        <f t="shared" si="10"/>
        <v>10852.746666666666</v>
      </c>
      <c r="O105" s="83"/>
      <c r="P105" s="83"/>
      <c r="Q105" s="83"/>
      <c r="R105" s="83"/>
      <c r="S105" s="83"/>
    </row>
    <row r="106" spans="1:19" ht="62.1" customHeight="1" x14ac:dyDescent="0.25">
      <c r="A106" s="160">
        <v>94</v>
      </c>
      <c r="B106" s="84" t="s">
        <v>459</v>
      </c>
      <c r="C106" s="1" t="s">
        <v>56</v>
      </c>
      <c r="D106" s="155">
        <v>240</v>
      </c>
      <c r="E106" s="194"/>
      <c r="F106" s="194"/>
      <c r="G106" s="194"/>
      <c r="H106" s="194"/>
      <c r="I106" s="220">
        <v>17.899999999999999</v>
      </c>
      <c r="J106" s="221">
        <f t="shared" si="8"/>
        <v>4296</v>
      </c>
      <c r="K106" s="221">
        <v>12</v>
      </c>
      <c r="L106" s="221">
        <f t="shared" si="9"/>
        <v>2880</v>
      </c>
      <c r="M106" s="206">
        <f>AVERAGE(I106,K106)</f>
        <v>14.95</v>
      </c>
      <c r="N106" s="206">
        <f t="shared" si="10"/>
        <v>3588</v>
      </c>
      <c r="O106" s="83"/>
      <c r="P106" s="83"/>
      <c r="Q106" s="83"/>
      <c r="R106" s="83"/>
      <c r="S106" s="83"/>
    </row>
    <row r="107" spans="1:19" ht="20.100000000000001" customHeight="1" x14ac:dyDescent="0.25">
      <c r="A107" s="160">
        <v>95</v>
      </c>
      <c r="B107" s="84" t="s">
        <v>76</v>
      </c>
      <c r="C107" s="1" t="s">
        <v>56</v>
      </c>
      <c r="D107" s="155">
        <v>216</v>
      </c>
      <c r="E107" s="194"/>
      <c r="F107" s="194"/>
      <c r="G107" s="194"/>
      <c r="H107" s="194"/>
      <c r="I107" s="220">
        <v>68</v>
      </c>
      <c r="J107" s="221">
        <f t="shared" si="8"/>
        <v>14688</v>
      </c>
      <c r="K107" s="221">
        <v>85</v>
      </c>
      <c r="L107" s="221">
        <f t="shared" si="9"/>
        <v>18360</v>
      </c>
      <c r="M107" s="206">
        <f>AVERAGE(I107,K107)</f>
        <v>76.5</v>
      </c>
      <c r="N107" s="206">
        <f t="shared" si="10"/>
        <v>16524</v>
      </c>
      <c r="O107" s="83"/>
      <c r="P107" s="83"/>
      <c r="Q107" s="83"/>
      <c r="R107" s="83"/>
      <c r="S107" s="83"/>
    </row>
    <row r="108" spans="1:19" ht="19.5" customHeight="1" x14ac:dyDescent="0.25">
      <c r="A108" s="160">
        <v>96</v>
      </c>
      <c r="B108" s="84" t="s">
        <v>77</v>
      </c>
      <c r="C108" s="1" t="s">
        <v>56</v>
      </c>
      <c r="D108" s="155">
        <v>36</v>
      </c>
      <c r="E108" s="194"/>
      <c r="F108" s="194"/>
      <c r="G108" s="194"/>
      <c r="H108" s="194"/>
      <c r="I108" s="220">
        <v>85</v>
      </c>
      <c r="J108" s="221">
        <f t="shared" si="8"/>
        <v>3060</v>
      </c>
      <c r="K108" s="221">
        <v>95</v>
      </c>
      <c r="L108" s="221">
        <f t="shared" si="9"/>
        <v>3420</v>
      </c>
      <c r="M108" s="206">
        <f t="shared" ref="M108:M109" si="11">AVERAGE(I108,K108)</f>
        <v>90</v>
      </c>
      <c r="N108" s="206">
        <f t="shared" si="10"/>
        <v>3240</v>
      </c>
      <c r="O108" s="83"/>
      <c r="P108" s="83"/>
      <c r="Q108" s="83"/>
      <c r="R108" s="83"/>
      <c r="S108" s="83"/>
    </row>
    <row r="109" spans="1:19" ht="16.5" customHeight="1" x14ac:dyDescent="0.25">
      <c r="A109" s="160">
        <v>97</v>
      </c>
      <c r="B109" s="84" t="s">
        <v>78</v>
      </c>
      <c r="C109" s="1" t="s">
        <v>56</v>
      </c>
      <c r="D109" s="155">
        <v>36</v>
      </c>
      <c r="E109" s="194"/>
      <c r="F109" s="194"/>
      <c r="G109" s="194"/>
      <c r="H109" s="194"/>
      <c r="I109" s="220">
        <v>90</v>
      </c>
      <c r="J109" s="221">
        <f t="shared" ref="J109:J116" si="12">I109*D109</f>
        <v>3240</v>
      </c>
      <c r="K109" s="221">
        <v>105</v>
      </c>
      <c r="L109" s="221">
        <f t="shared" ref="L109:L116" si="13">K109*D109</f>
        <v>3780</v>
      </c>
      <c r="M109" s="206">
        <f t="shared" si="11"/>
        <v>97.5</v>
      </c>
      <c r="N109" s="206">
        <f t="shared" ref="N109:N116" si="14">M109*D109</f>
        <v>3510</v>
      </c>
      <c r="O109" s="83"/>
      <c r="P109" s="83"/>
      <c r="Q109" s="83"/>
      <c r="R109" s="83"/>
      <c r="S109" s="83"/>
    </row>
    <row r="110" spans="1:19" ht="44.1" customHeight="1" x14ac:dyDescent="0.25">
      <c r="A110" s="160">
        <v>98</v>
      </c>
      <c r="B110" s="84" t="s">
        <v>460</v>
      </c>
      <c r="C110" s="1" t="s">
        <v>56</v>
      </c>
      <c r="D110" s="155">
        <v>2160</v>
      </c>
      <c r="E110" s="194"/>
      <c r="F110" s="194"/>
      <c r="G110" s="194"/>
      <c r="H110" s="194">
        <v>4.9000000000000004</v>
      </c>
      <c r="I110" s="220">
        <v>2.5</v>
      </c>
      <c r="J110" s="221">
        <f t="shared" si="12"/>
        <v>5400</v>
      </c>
      <c r="K110" s="221">
        <v>2</v>
      </c>
      <c r="L110" s="221">
        <f t="shared" si="13"/>
        <v>4320</v>
      </c>
      <c r="M110" s="206">
        <f>AVERAGE(H110,I110,K110)</f>
        <v>3.1333333333333333</v>
      </c>
      <c r="N110" s="206">
        <f t="shared" si="14"/>
        <v>6768</v>
      </c>
      <c r="O110" s="83"/>
      <c r="P110" s="83"/>
      <c r="Q110" s="83"/>
      <c r="R110" s="83"/>
      <c r="S110" s="83"/>
    </row>
    <row r="111" spans="1:19" ht="78.599999999999994" customHeight="1" x14ac:dyDescent="0.25">
      <c r="A111" s="160">
        <v>99</v>
      </c>
      <c r="B111" s="84" t="s">
        <v>461</v>
      </c>
      <c r="C111" s="1" t="s">
        <v>72</v>
      </c>
      <c r="D111" s="155">
        <v>180</v>
      </c>
      <c r="E111" s="194"/>
      <c r="F111" s="194"/>
      <c r="G111" s="194"/>
      <c r="H111" s="194">
        <v>49.9</v>
      </c>
      <c r="I111" s="220">
        <v>35</v>
      </c>
      <c r="J111" s="221">
        <f t="shared" si="12"/>
        <v>6300</v>
      </c>
      <c r="K111" s="221">
        <v>25</v>
      </c>
      <c r="L111" s="221">
        <f t="shared" si="13"/>
        <v>4500</v>
      </c>
      <c r="M111" s="206">
        <f>AVERAGE(H111,I111,K111)</f>
        <v>36.633333333333333</v>
      </c>
      <c r="N111" s="206">
        <f t="shared" si="14"/>
        <v>6594</v>
      </c>
      <c r="O111" s="83"/>
      <c r="P111" s="83"/>
      <c r="Q111" s="83"/>
      <c r="R111" s="83"/>
      <c r="S111" s="83"/>
    </row>
    <row r="112" spans="1:19" ht="30" customHeight="1" x14ac:dyDescent="0.25">
      <c r="A112" s="160">
        <v>100</v>
      </c>
      <c r="B112" s="84" t="s">
        <v>462</v>
      </c>
      <c r="C112" s="1" t="s">
        <v>56</v>
      </c>
      <c r="D112" s="155">
        <v>360</v>
      </c>
      <c r="E112" s="194">
        <v>33.65</v>
      </c>
      <c r="F112" s="194">
        <v>15.85</v>
      </c>
      <c r="G112" s="194"/>
      <c r="H112" s="194">
        <v>22</v>
      </c>
      <c r="I112" s="220">
        <v>22.9</v>
      </c>
      <c r="J112" s="221">
        <f t="shared" si="12"/>
        <v>8244</v>
      </c>
      <c r="K112" s="221">
        <v>12</v>
      </c>
      <c r="L112" s="221">
        <f t="shared" si="13"/>
        <v>4320</v>
      </c>
      <c r="M112" s="206">
        <f>AVERAGE(E112,H112,I112)</f>
        <v>26.183333333333334</v>
      </c>
      <c r="N112" s="206">
        <f t="shared" si="14"/>
        <v>9426</v>
      </c>
      <c r="O112" s="83"/>
      <c r="P112" s="83"/>
      <c r="Q112" s="83"/>
      <c r="R112" s="83"/>
      <c r="S112" s="83"/>
    </row>
    <row r="113" spans="1:19" ht="30" customHeight="1" x14ac:dyDescent="0.25">
      <c r="A113" s="160">
        <v>101</v>
      </c>
      <c r="B113" s="84" t="s">
        <v>463</v>
      </c>
      <c r="C113" s="1" t="s">
        <v>56</v>
      </c>
      <c r="D113" s="155">
        <v>120</v>
      </c>
      <c r="E113" s="194"/>
      <c r="F113" s="194"/>
      <c r="G113" s="194">
        <v>14.68</v>
      </c>
      <c r="H113" s="194">
        <v>34.5</v>
      </c>
      <c r="I113" s="220">
        <v>24.9</v>
      </c>
      <c r="J113" s="221">
        <f t="shared" si="12"/>
        <v>2988</v>
      </c>
      <c r="K113" s="221">
        <v>15</v>
      </c>
      <c r="L113" s="221">
        <f t="shared" si="13"/>
        <v>1800</v>
      </c>
      <c r="M113" s="206">
        <f>AVERAGE(G113,I113,K113)</f>
        <v>18.193333333333332</v>
      </c>
      <c r="N113" s="206">
        <f t="shared" si="14"/>
        <v>2183.1999999999998</v>
      </c>
      <c r="O113" s="83"/>
      <c r="P113" s="83"/>
      <c r="Q113" s="83"/>
      <c r="R113" s="83"/>
      <c r="S113" s="83"/>
    </row>
    <row r="114" spans="1:19" ht="30" customHeight="1" x14ac:dyDescent="0.25">
      <c r="A114" s="160">
        <v>102</v>
      </c>
      <c r="B114" s="84" t="s">
        <v>464</v>
      </c>
      <c r="C114" s="1" t="s">
        <v>56</v>
      </c>
      <c r="D114" s="155">
        <v>24</v>
      </c>
      <c r="E114" s="194"/>
      <c r="F114" s="194"/>
      <c r="G114" s="194">
        <v>14.68</v>
      </c>
      <c r="H114" s="194">
        <v>34.5</v>
      </c>
      <c r="I114" s="220">
        <v>29.9</v>
      </c>
      <c r="J114" s="221">
        <f t="shared" si="12"/>
        <v>717.59999999999991</v>
      </c>
      <c r="K114" s="221">
        <v>17</v>
      </c>
      <c r="L114" s="221">
        <f t="shared" si="13"/>
        <v>408</v>
      </c>
      <c r="M114" s="206">
        <f>AVERAGE(G114,I114,K114)</f>
        <v>20.526666666666667</v>
      </c>
      <c r="N114" s="206">
        <f t="shared" si="14"/>
        <v>492.64</v>
      </c>
      <c r="O114" s="83"/>
      <c r="P114" s="83"/>
      <c r="Q114" s="83"/>
      <c r="R114" s="83"/>
      <c r="S114" s="83"/>
    </row>
    <row r="115" spans="1:19" ht="30" customHeight="1" x14ac:dyDescent="0.25">
      <c r="A115" s="160">
        <v>103</v>
      </c>
      <c r="B115" s="84" t="s">
        <v>465</v>
      </c>
      <c r="C115" s="1" t="s">
        <v>56</v>
      </c>
      <c r="D115" s="155">
        <v>120</v>
      </c>
      <c r="E115" s="194"/>
      <c r="F115" s="194"/>
      <c r="G115" s="194">
        <v>10.8</v>
      </c>
      <c r="H115" s="194">
        <v>35</v>
      </c>
      <c r="I115" s="220">
        <v>14.9</v>
      </c>
      <c r="J115" s="221">
        <f t="shared" si="12"/>
        <v>1788</v>
      </c>
      <c r="K115" s="221">
        <v>5.9</v>
      </c>
      <c r="L115" s="221">
        <f t="shared" si="13"/>
        <v>708</v>
      </c>
      <c r="M115" s="206">
        <f>AVERAGE(G115,I115)</f>
        <v>12.850000000000001</v>
      </c>
      <c r="N115" s="206">
        <f t="shared" si="14"/>
        <v>1542.0000000000002</v>
      </c>
      <c r="O115" s="83"/>
      <c r="P115" s="83"/>
      <c r="Q115" s="83"/>
      <c r="R115" s="83"/>
      <c r="S115" s="83"/>
    </row>
    <row r="116" spans="1:19" ht="30" customHeight="1" x14ac:dyDescent="0.25">
      <c r="A116" s="160">
        <v>104</v>
      </c>
      <c r="B116" s="92" t="s">
        <v>466</v>
      </c>
      <c r="C116" s="1" t="s">
        <v>56</v>
      </c>
      <c r="D116" s="155">
        <v>120</v>
      </c>
      <c r="E116" s="194"/>
      <c r="F116" s="194"/>
      <c r="G116" s="194"/>
      <c r="H116" s="194">
        <v>8.5</v>
      </c>
      <c r="I116" s="220">
        <v>4.9000000000000004</v>
      </c>
      <c r="J116" s="221">
        <f t="shared" si="12"/>
        <v>588</v>
      </c>
      <c r="K116" s="221">
        <v>3.5</v>
      </c>
      <c r="L116" s="221">
        <f t="shared" si="13"/>
        <v>420</v>
      </c>
      <c r="M116" s="206">
        <f>AVERAGE(H116,I116,K116)</f>
        <v>5.6333333333333329</v>
      </c>
      <c r="N116" s="206">
        <f t="shared" si="14"/>
        <v>676</v>
      </c>
      <c r="O116" s="83"/>
      <c r="P116" s="83"/>
      <c r="Q116" s="83"/>
      <c r="R116" s="83"/>
      <c r="S116" s="83"/>
    </row>
    <row r="117" spans="1:19" x14ac:dyDescent="0.25">
      <c r="A117" s="160"/>
      <c r="B117" s="546" t="s">
        <v>500</v>
      </c>
      <c r="C117" s="547"/>
      <c r="D117" s="547"/>
      <c r="E117" s="547"/>
      <c r="F117" s="547"/>
      <c r="G117" s="547"/>
      <c r="H117" s="547"/>
      <c r="I117" s="548"/>
      <c r="J117" s="205">
        <f>SUM(J13:J116)</f>
        <v>1708086.0400000003</v>
      </c>
      <c r="K117" s="205"/>
      <c r="L117" s="205">
        <f>SUM(L13:L116)</f>
        <v>1284633.6400000001</v>
      </c>
      <c r="M117" s="542">
        <f>SUM(N13:N116)</f>
        <v>1540484.2516666672</v>
      </c>
      <c r="N117" s="543"/>
      <c r="O117" s="83"/>
      <c r="P117" s="83"/>
      <c r="Q117" s="83"/>
      <c r="R117" s="83"/>
      <c r="S117" s="83"/>
    </row>
    <row r="118" spans="1:19" x14ac:dyDescent="0.25">
      <c r="A118" s="534" t="s">
        <v>495</v>
      </c>
      <c r="B118" s="535"/>
      <c r="C118" s="535"/>
      <c r="D118" s="535"/>
      <c r="E118" s="535"/>
      <c r="F118" s="535"/>
      <c r="G118" s="535"/>
      <c r="H118" s="535"/>
      <c r="I118" s="535"/>
      <c r="J118" s="536"/>
      <c r="K118" s="212"/>
      <c r="L118" s="212"/>
      <c r="M118" s="208"/>
      <c r="N118" s="208"/>
      <c r="O118" s="83"/>
      <c r="P118" s="83"/>
      <c r="Q118" s="83"/>
      <c r="R118" s="83"/>
      <c r="S118" s="83"/>
    </row>
    <row r="119" spans="1:19" ht="45" customHeight="1" x14ac:dyDescent="0.25">
      <c r="A119" s="160">
        <v>105</v>
      </c>
      <c r="B119" s="84" t="s">
        <v>467</v>
      </c>
      <c r="C119" s="1" t="s">
        <v>72</v>
      </c>
      <c r="D119" s="155">
        <v>60</v>
      </c>
      <c r="E119" s="198"/>
      <c r="F119" s="198"/>
      <c r="G119" s="198"/>
      <c r="H119" s="198">
        <v>24.9</v>
      </c>
      <c r="I119" s="220">
        <v>29.9</v>
      </c>
      <c r="J119" s="220">
        <f t="shared" ref="J119:J146" si="15">D119*I119</f>
        <v>1794</v>
      </c>
      <c r="K119" s="220">
        <v>2.9</v>
      </c>
      <c r="L119" s="220">
        <f t="shared" ref="L119:L146" si="16">K119*D119</f>
        <v>174</v>
      </c>
      <c r="M119" s="207">
        <f>AVERAGE(H119,I119)</f>
        <v>27.4</v>
      </c>
      <c r="N119" s="207">
        <f t="shared" ref="N119:N146" si="17">M119*D119</f>
        <v>1644</v>
      </c>
      <c r="O119" s="83"/>
      <c r="P119" s="83"/>
      <c r="Q119" s="83"/>
      <c r="R119" s="83"/>
      <c r="S119" s="83"/>
    </row>
    <row r="120" spans="1:19" ht="38.1" customHeight="1" x14ac:dyDescent="0.25">
      <c r="A120" s="160">
        <v>106</v>
      </c>
      <c r="B120" s="84" t="s">
        <v>468</v>
      </c>
      <c r="C120" s="1" t="s">
        <v>79</v>
      </c>
      <c r="D120" s="155">
        <v>60</v>
      </c>
      <c r="E120" s="198"/>
      <c r="F120" s="198"/>
      <c r="G120" s="198"/>
      <c r="H120" s="198">
        <v>267.37</v>
      </c>
      <c r="I120" s="220">
        <v>167</v>
      </c>
      <c r="J120" s="220">
        <f t="shared" si="15"/>
        <v>10020</v>
      </c>
      <c r="K120" s="220">
        <v>12</v>
      </c>
      <c r="L120" s="220">
        <f t="shared" si="16"/>
        <v>720</v>
      </c>
      <c r="M120" s="207">
        <f>AVERAGE(H120,I120)</f>
        <v>217.185</v>
      </c>
      <c r="N120" s="207">
        <f t="shared" si="17"/>
        <v>13031.1</v>
      </c>
      <c r="O120" s="83"/>
      <c r="P120" s="83"/>
      <c r="Q120" s="83"/>
      <c r="R120" s="83"/>
      <c r="S120" s="83"/>
    </row>
    <row r="121" spans="1:19" ht="21" customHeight="1" x14ac:dyDescent="0.25">
      <c r="A121" s="160">
        <v>107</v>
      </c>
      <c r="B121" s="84" t="s">
        <v>80</v>
      </c>
      <c r="C121" s="1" t="s">
        <v>81</v>
      </c>
      <c r="D121" s="155">
        <v>72</v>
      </c>
      <c r="E121" s="198"/>
      <c r="F121" s="198"/>
      <c r="G121" s="198"/>
      <c r="H121" s="198"/>
      <c r="I121" s="220">
        <v>190</v>
      </c>
      <c r="J121" s="220">
        <f t="shared" si="15"/>
        <v>13680</v>
      </c>
      <c r="K121" s="220">
        <v>310</v>
      </c>
      <c r="L121" s="220">
        <f t="shared" si="16"/>
        <v>22320</v>
      </c>
      <c r="M121" s="207">
        <f>AVERAGE(I121,K121)</f>
        <v>250</v>
      </c>
      <c r="N121" s="207">
        <f t="shared" si="17"/>
        <v>18000</v>
      </c>
      <c r="O121" s="83"/>
      <c r="P121" s="83"/>
      <c r="Q121" s="83"/>
      <c r="R121" s="83"/>
      <c r="S121" s="83"/>
    </row>
    <row r="122" spans="1:19" ht="29.1" customHeight="1" x14ac:dyDescent="0.25">
      <c r="A122" s="160">
        <v>108</v>
      </c>
      <c r="B122" s="84" t="s">
        <v>469</v>
      </c>
      <c r="C122" s="1" t="s">
        <v>72</v>
      </c>
      <c r="D122" s="155">
        <v>36</v>
      </c>
      <c r="E122" s="198"/>
      <c r="F122" s="198"/>
      <c r="G122" s="198"/>
      <c r="H122" s="198"/>
      <c r="I122" s="220">
        <v>45</v>
      </c>
      <c r="J122" s="220">
        <f t="shared" si="15"/>
        <v>1620</v>
      </c>
      <c r="K122" s="220">
        <v>3.5</v>
      </c>
      <c r="L122" s="220">
        <f t="shared" si="16"/>
        <v>126</v>
      </c>
      <c r="M122" s="207">
        <f>AVERAGE(I122,K122)</f>
        <v>24.25</v>
      </c>
      <c r="N122" s="207">
        <f t="shared" si="17"/>
        <v>873</v>
      </c>
      <c r="O122" s="83"/>
      <c r="P122" s="83"/>
      <c r="Q122" s="83"/>
      <c r="R122" s="83"/>
      <c r="S122" s="83"/>
    </row>
    <row r="123" spans="1:19" ht="30" customHeight="1" x14ac:dyDescent="0.25">
      <c r="A123" s="160">
        <v>109</v>
      </c>
      <c r="B123" s="84" t="s">
        <v>470</v>
      </c>
      <c r="C123" s="1" t="s">
        <v>79</v>
      </c>
      <c r="D123" s="155">
        <v>120</v>
      </c>
      <c r="E123" s="198"/>
      <c r="F123" s="198"/>
      <c r="G123" s="198"/>
      <c r="H123" s="198">
        <v>16.5</v>
      </c>
      <c r="I123" s="220">
        <v>29.9</v>
      </c>
      <c r="J123" s="220">
        <f t="shared" si="15"/>
        <v>3588</v>
      </c>
      <c r="K123" s="220">
        <v>0.7</v>
      </c>
      <c r="L123" s="220">
        <f t="shared" si="16"/>
        <v>84</v>
      </c>
      <c r="M123" s="207">
        <f>AVERAGE(H123,I123)</f>
        <v>23.2</v>
      </c>
      <c r="N123" s="207">
        <f t="shared" si="17"/>
        <v>2784</v>
      </c>
      <c r="O123" s="83"/>
      <c r="P123" s="83"/>
      <c r="Q123" s="83"/>
      <c r="R123" s="83"/>
      <c r="S123" s="83"/>
    </row>
    <row r="124" spans="1:19" ht="31.5" customHeight="1" x14ac:dyDescent="0.25">
      <c r="A124" s="160">
        <v>110</v>
      </c>
      <c r="B124" s="84" t="s">
        <v>471</v>
      </c>
      <c r="C124" s="1" t="s">
        <v>79</v>
      </c>
      <c r="D124" s="155">
        <v>60</v>
      </c>
      <c r="E124" s="198"/>
      <c r="F124" s="198"/>
      <c r="G124" s="198"/>
      <c r="H124" s="198">
        <v>40.32</v>
      </c>
      <c r="I124" s="220">
        <v>44.9</v>
      </c>
      <c r="J124" s="220">
        <f t="shared" si="15"/>
        <v>2694</v>
      </c>
      <c r="K124" s="220">
        <v>3.2</v>
      </c>
      <c r="L124" s="220">
        <f t="shared" si="16"/>
        <v>192</v>
      </c>
      <c r="M124" s="207">
        <f>AVERAGE(H124,I124)</f>
        <v>42.61</v>
      </c>
      <c r="N124" s="207">
        <f t="shared" si="17"/>
        <v>2556.6</v>
      </c>
      <c r="O124" s="83"/>
      <c r="P124" s="83"/>
      <c r="Q124" s="83"/>
      <c r="R124" s="83"/>
      <c r="S124" s="83"/>
    </row>
    <row r="125" spans="1:19" ht="32.450000000000003" customHeight="1" x14ac:dyDescent="0.25">
      <c r="A125" s="160">
        <v>111</v>
      </c>
      <c r="B125" s="84" t="s">
        <v>472</v>
      </c>
      <c r="C125" s="1" t="s">
        <v>69</v>
      </c>
      <c r="D125" s="155">
        <v>48</v>
      </c>
      <c r="E125" s="198"/>
      <c r="F125" s="198"/>
      <c r="G125" s="198"/>
      <c r="H125" s="198">
        <v>16.8</v>
      </c>
      <c r="I125" s="220">
        <v>19.899999999999999</v>
      </c>
      <c r="J125" s="220">
        <f t="shared" si="15"/>
        <v>955.19999999999993</v>
      </c>
      <c r="K125" s="220">
        <v>10</v>
      </c>
      <c r="L125" s="220">
        <f t="shared" si="16"/>
        <v>480</v>
      </c>
      <c r="M125" s="207">
        <f>AVERAGE(H125,I125,K125)</f>
        <v>15.566666666666668</v>
      </c>
      <c r="N125" s="207">
        <f t="shared" si="17"/>
        <v>747.2</v>
      </c>
      <c r="O125" s="83"/>
      <c r="P125" s="83"/>
      <c r="Q125" s="83"/>
      <c r="R125" s="83"/>
      <c r="S125" s="83"/>
    </row>
    <row r="126" spans="1:19" ht="30" customHeight="1" x14ac:dyDescent="0.25">
      <c r="A126" s="160">
        <v>112</v>
      </c>
      <c r="B126" s="84" t="s">
        <v>548</v>
      </c>
      <c r="C126" s="1" t="s">
        <v>72</v>
      </c>
      <c r="D126" s="155">
        <v>48</v>
      </c>
      <c r="E126" s="198"/>
      <c r="F126" s="198"/>
      <c r="G126" s="198"/>
      <c r="H126" s="198">
        <v>49.9</v>
      </c>
      <c r="I126" s="220">
        <v>39.9</v>
      </c>
      <c r="J126" s="220">
        <f t="shared" si="15"/>
        <v>1915.1999999999998</v>
      </c>
      <c r="K126" s="220">
        <v>65</v>
      </c>
      <c r="L126" s="220">
        <f t="shared" si="16"/>
        <v>3120</v>
      </c>
      <c r="M126" s="207">
        <f>AVERAGE(H126,I126,K126)</f>
        <v>51.6</v>
      </c>
      <c r="N126" s="207">
        <f t="shared" si="17"/>
        <v>2476.8000000000002</v>
      </c>
      <c r="O126" s="83"/>
      <c r="P126" s="83"/>
      <c r="Q126" s="83"/>
      <c r="R126" s="83"/>
      <c r="S126" s="83"/>
    </row>
    <row r="127" spans="1:19" ht="29.45" customHeight="1" x14ac:dyDescent="0.25">
      <c r="A127" s="160">
        <v>113</v>
      </c>
      <c r="B127" s="84" t="s">
        <v>473</v>
      </c>
      <c r="C127" s="1" t="s">
        <v>81</v>
      </c>
      <c r="D127" s="155">
        <v>240</v>
      </c>
      <c r="E127" s="198"/>
      <c r="F127" s="198"/>
      <c r="G127" s="198"/>
      <c r="H127" s="198"/>
      <c r="I127" s="220">
        <v>8.9</v>
      </c>
      <c r="J127" s="220">
        <f t="shared" si="15"/>
        <v>2136</v>
      </c>
      <c r="K127" s="220">
        <v>10</v>
      </c>
      <c r="L127" s="220">
        <f t="shared" si="16"/>
        <v>2400</v>
      </c>
      <c r="M127" s="207">
        <f>AVERAGE(I127,K127)</f>
        <v>9.4499999999999993</v>
      </c>
      <c r="N127" s="207">
        <f t="shared" si="17"/>
        <v>2268</v>
      </c>
      <c r="O127" s="83"/>
      <c r="P127" s="83"/>
      <c r="Q127" s="83"/>
      <c r="R127" s="83"/>
      <c r="S127" s="83"/>
    </row>
    <row r="128" spans="1:19" ht="25.5" x14ac:dyDescent="0.25">
      <c r="A128" s="160">
        <v>114</v>
      </c>
      <c r="B128" s="84" t="s">
        <v>474</v>
      </c>
      <c r="C128" s="1" t="s">
        <v>72</v>
      </c>
      <c r="D128" s="155">
        <v>36</v>
      </c>
      <c r="E128" s="198"/>
      <c r="F128" s="198"/>
      <c r="G128" s="198"/>
      <c r="H128" s="198">
        <v>98.9</v>
      </c>
      <c r="I128" s="220">
        <v>69.900000000000006</v>
      </c>
      <c r="J128" s="220">
        <f t="shared" si="15"/>
        <v>2516.4</v>
      </c>
      <c r="K128" s="220">
        <v>65</v>
      </c>
      <c r="L128" s="220">
        <f t="shared" si="16"/>
        <v>2340</v>
      </c>
      <c r="M128" s="207">
        <f>AVERAGE(H128,I128,K128)</f>
        <v>77.933333333333337</v>
      </c>
      <c r="N128" s="207">
        <f t="shared" si="17"/>
        <v>2805.6000000000004</v>
      </c>
      <c r="O128" s="83"/>
      <c r="P128" s="83"/>
      <c r="Q128" s="83"/>
      <c r="R128" s="83"/>
      <c r="S128" s="83"/>
    </row>
    <row r="129" spans="1:19" ht="35.1" customHeight="1" x14ac:dyDescent="0.25">
      <c r="A129" s="160">
        <v>115</v>
      </c>
      <c r="B129" s="84" t="s">
        <v>475</v>
      </c>
      <c r="C129" s="1" t="s">
        <v>82</v>
      </c>
      <c r="D129" s="155">
        <v>48</v>
      </c>
      <c r="E129" s="198"/>
      <c r="F129" s="198"/>
      <c r="G129" s="198"/>
      <c r="H129" s="198"/>
      <c r="I129" s="220">
        <v>99</v>
      </c>
      <c r="J129" s="220">
        <f t="shared" si="15"/>
        <v>4752</v>
      </c>
      <c r="K129" s="220">
        <v>65</v>
      </c>
      <c r="L129" s="220">
        <f t="shared" si="16"/>
        <v>3120</v>
      </c>
      <c r="M129" s="207">
        <f t="shared" ref="M129:M137" si="18">AVERAGE(I129,K129)</f>
        <v>82</v>
      </c>
      <c r="N129" s="207">
        <f t="shared" si="17"/>
        <v>3936</v>
      </c>
      <c r="O129" s="83"/>
      <c r="P129" s="83"/>
      <c r="Q129" s="83"/>
      <c r="R129" s="83"/>
      <c r="S129" s="83"/>
    </row>
    <row r="130" spans="1:19" ht="36" customHeight="1" x14ac:dyDescent="0.25">
      <c r="A130" s="160">
        <v>116</v>
      </c>
      <c r="B130" s="84" t="s">
        <v>476</v>
      </c>
      <c r="C130" s="1" t="s">
        <v>82</v>
      </c>
      <c r="D130" s="155">
        <v>48</v>
      </c>
      <c r="E130" s="198"/>
      <c r="F130" s="198"/>
      <c r="G130" s="198"/>
      <c r="H130" s="198"/>
      <c r="I130" s="220">
        <v>79</v>
      </c>
      <c r="J130" s="220">
        <f t="shared" si="15"/>
        <v>3792</v>
      </c>
      <c r="K130" s="220">
        <v>80</v>
      </c>
      <c r="L130" s="220">
        <f t="shared" si="16"/>
        <v>3840</v>
      </c>
      <c r="M130" s="207">
        <f t="shared" si="18"/>
        <v>79.5</v>
      </c>
      <c r="N130" s="207">
        <f t="shared" si="17"/>
        <v>3816</v>
      </c>
      <c r="O130" s="83"/>
      <c r="P130" s="83"/>
      <c r="Q130" s="83"/>
      <c r="R130" s="83"/>
      <c r="S130" s="83"/>
    </row>
    <row r="131" spans="1:19" ht="42.6" customHeight="1" x14ac:dyDescent="0.25">
      <c r="A131" s="160">
        <v>117</v>
      </c>
      <c r="B131" s="84" t="s">
        <v>83</v>
      </c>
      <c r="C131" s="1" t="s">
        <v>82</v>
      </c>
      <c r="D131" s="155">
        <v>48</v>
      </c>
      <c r="E131" s="198"/>
      <c r="F131" s="198"/>
      <c r="G131" s="198"/>
      <c r="H131" s="198"/>
      <c r="I131" s="220">
        <v>79</v>
      </c>
      <c r="J131" s="220">
        <f t="shared" si="15"/>
        <v>3792</v>
      </c>
      <c r="K131" s="220">
        <v>69</v>
      </c>
      <c r="L131" s="220">
        <f t="shared" si="16"/>
        <v>3312</v>
      </c>
      <c r="M131" s="207">
        <f t="shared" si="18"/>
        <v>74</v>
      </c>
      <c r="N131" s="207">
        <f t="shared" si="17"/>
        <v>3552</v>
      </c>
      <c r="O131" s="83"/>
      <c r="P131" s="83"/>
      <c r="Q131" s="83"/>
      <c r="R131" s="83"/>
      <c r="S131" s="83"/>
    </row>
    <row r="132" spans="1:19" ht="30" customHeight="1" x14ac:dyDescent="0.25">
      <c r="A132" s="160">
        <v>118</v>
      </c>
      <c r="B132" s="84" t="s">
        <v>477</v>
      </c>
      <c r="C132" s="1" t="s">
        <v>82</v>
      </c>
      <c r="D132" s="155">
        <v>48</v>
      </c>
      <c r="E132" s="198"/>
      <c r="F132" s="198"/>
      <c r="G132" s="198"/>
      <c r="H132" s="198"/>
      <c r="I132" s="220">
        <v>99</v>
      </c>
      <c r="J132" s="220">
        <f t="shared" si="15"/>
        <v>4752</v>
      </c>
      <c r="K132" s="220">
        <v>40</v>
      </c>
      <c r="L132" s="220">
        <f t="shared" si="16"/>
        <v>1920</v>
      </c>
      <c r="M132" s="207">
        <f t="shared" si="18"/>
        <v>69.5</v>
      </c>
      <c r="N132" s="207">
        <f t="shared" si="17"/>
        <v>3336</v>
      </c>
      <c r="O132" s="83"/>
      <c r="P132" s="83"/>
      <c r="Q132" s="83"/>
      <c r="R132" s="83"/>
      <c r="S132" s="83"/>
    </row>
    <row r="133" spans="1:19" ht="35.1" customHeight="1" x14ac:dyDescent="0.25">
      <c r="A133" s="160">
        <v>119</v>
      </c>
      <c r="B133" s="84" t="s">
        <v>478</v>
      </c>
      <c r="C133" s="1" t="s">
        <v>82</v>
      </c>
      <c r="D133" s="155">
        <v>72</v>
      </c>
      <c r="E133" s="198"/>
      <c r="F133" s="198"/>
      <c r="G133" s="198"/>
      <c r="H133" s="198"/>
      <c r="I133" s="220">
        <v>80</v>
      </c>
      <c r="J133" s="220">
        <f t="shared" si="15"/>
        <v>5760</v>
      </c>
      <c r="K133" s="220">
        <v>50</v>
      </c>
      <c r="L133" s="220">
        <f t="shared" si="16"/>
        <v>3600</v>
      </c>
      <c r="M133" s="207">
        <f t="shared" si="18"/>
        <v>65</v>
      </c>
      <c r="N133" s="207">
        <f t="shared" si="17"/>
        <v>4680</v>
      </c>
      <c r="O133" s="83"/>
      <c r="P133" s="83"/>
      <c r="Q133" s="83"/>
      <c r="R133" s="83"/>
      <c r="S133" s="83"/>
    </row>
    <row r="134" spans="1:19" ht="38.25" x14ac:dyDescent="0.25">
      <c r="A134" s="160">
        <v>120</v>
      </c>
      <c r="B134" s="84" t="s">
        <v>479</v>
      </c>
      <c r="C134" s="1" t="s">
        <v>74</v>
      </c>
      <c r="D134" s="177">
        <v>60</v>
      </c>
      <c r="E134" s="198"/>
      <c r="F134" s="198"/>
      <c r="G134" s="198"/>
      <c r="H134" s="198"/>
      <c r="I134" s="220">
        <v>130</v>
      </c>
      <c r="J134" s="220">
        <f t="shared" si="15"/>
        <v>7800</v>
      </c>
      <c r="K134" s="220">
        <v>50</v>
      </c>
      <c r="L134" s="220">
        <f t="shared" si="16"/>
        <v>3000</v>
      </c>
      <c r="M134" s="207">
        <f t="shared" si="18"/>
        <v>90</v>
      </c>
      <c r="N134" s="207">
        <f t="shared" si="17"/>
        <v>5400</v>
      </c>
      <c r="O134" s="83"/>
      <c r="P134" s="83"/>
      <c r="Q134" s="83"/>
      <c r="R134" s="83"/>
      <c r="S134" s="83"/>
    </row>
    <row r="135" spans="1:19" ht="38.25" x14ac:dyDescent="0.25">
      <c r="A135" s="160">
        <v>121</v>
      </c>
      <c r="B135" s="84" t="s">
        <v>480</v>
      </c>
      <c r="C135" s="1" t="s">
        <v>74</v>
      </c>
      <c r="D135" s="155">
        <v>60</v>
      </c>
      <c r="E135" s="198"/>
      <c r="F135" s="198"/>
      <c r="G135" s="198"/>
      <c r="H135" s="198"/>
      <c r="I135" s="220">
        <v>130</v>
      </c>
      <c r="J135" s="220">
        <f t="shared" si="15"/>
        <v>7800</v>
      </c>
      <c r="K135" s="220">
        <v>305</v>
      </c>
      <c r="L135" s="220">
        <f t="shared" si="16"/>
        <v>18300</v>
      </c>
      <c r="M135" s="207">
        <f t="shared" si="18"/>
        <v>217.5</v>
      </c>
      <c r="N135" s="207">
        <f t="shared" si="17"/>
        <v>13050</v>
      </c>
      <c r="O135" s="83"/>
      <c r="P135" s="83"/>
      <c r="Q135" s="83"/>
      <c r="R135" s="83"/>
      <c r="S135" s="83"/>
    </row>
    <row r="136" spans="1:19" ht="38.25" x14ac:dyDescent="0.25">
      <c r="A136" s="160">
        <v>122</v>
      </c>
      <c r="B136" s="84" t="s">
        <v>481</v>
      </c>
      <c r="C136" s="1" t="s">
        <v>74</v>
      </c>
      <c r="D136" s="155">
        <v>60</v>
      </c>
      <c r="E136" s="198"/>
      <c r="F136" s="198"/>
      <c r="G136" s="198"/>
      <c r="H136" s="198"/>
      <c r="I136" s="220">
        <v>130</v>
      </c>
      <c r="J136" s="220">
        <f t="shared" si="15"/>
        <v>7800</v>
      </c>
      <c r="K136" s="220">
        <v>88</v>
      </c>
      <c r="L136" s="220">
        <f t="shared" si="16"/>
        <v>5280</v>
      </c>
      <c r="M136" s="207">
        <f t="shared" si="18"/>
        <v>109</v>
      </c>
      <c r="N136" s="207">
        <f t="shared" si="17"/>
        <v>6540</v>
      </c>
      <c r="O136" s="83"/>
      <c r="P136" s="83"/>
      <c r="Q136" s="83"/>
      <c r="R136" s="83"/>
      <c r="S136" s="83"/>
    </row>
    <row r="137" spans="1:19" ht="38.25" x14ac:dyDescent="0.25">
      <c r="A137" s="160">
        <v>123</v>
      </c>
      <c r="B137" s="84" t="s">
        <v>482</v>
      </c>
      <c r="C137" s="1" t="s">
        <v>74</v>
      </c>
      <c r="D137" s="155">
        <v>60</v>
      </c>
      <c r="E137" s="198"/>
      <c r="F137" s="198"/>
      <c r="G137" s="198"/>
      <c r="H137" s="198"/>
      <c r="I137" s="220">
        <v>130</v>
      </c>
      <c r="J137" s="220">
        <f t="shared" si="15"/>
        <v>7800</v>
      </c>
      <c r="K137" s="220">
        <v>60</v>
      </c>
      <c r="L137" s="220">
        <f t="shared" si="16"/>
        <v>3600</v>
      </c>
      <c r="M137" s="207">
        <f t="shared" si="18"/>
        <v>95</v>
      </c>
      <c r="N137" s="207">
        <f t="shared" si="17"/>
        <v>5700</v>
      </c>
      <c r="O137" s="83"/>
      <c r="P137" s="83"/>
      <c r="Q137" s="83"/>
      <c r="R137" s="83"/>
      <c r="S137" s="83"/>
    </row>
    <row r="138" spans="1:19" ht="23.45" customHeight="1" x14ac:dyDescent="0.25">
      <c r="A138" s="160">
        <v>124</v>
      </c>
      <c r="B138" s="84" t="s">
        <v>483</v>
      </c>
      <c r="C138" s="1" t="s">
        <v>56</v>
      </c>
      <c r="D138" s="155">
        <v>120</v>
      </c>
      <c r="E138" s="198"/>
      <c r="F138" s="198"/>
      <c r="G138" s="198"/>
      <c r="H138" s="198">
        <v>3.9</v>
      </c>
      <c r="I138" s="220">
        <v>8.9</v>
      </c>
      <c r="J138" s="220">
        <f t="shared" si="15"/>
        <v>1068</v>
      </c>
      <c r="K138" s="220">
        <v>4.5</v>
      </c>
      <c r="L138" s="220">
        <f t="shared" si="16"/>
        <v>540</v>
      </c>
      <c r="M138" s="207">
        <f>AVERAGE(H138,I138,K138)</f>
        <v>5.7666666666666666</v>
      </c>
      <c r="N138" s="207">
        <f t="shared" si="17"/>
        <v>692</v>
      </c>
      <c r="O138" s="83"/>
      <c r="P138" s="83"/>
      <c r="Q138" s="83"/>
      <c r="R138" s="83"/>
      <c r="S138" s="83"/>
    </row>
    <row r="139" spans="1:19" ht="24.6" customHeight="1" x14ac:dyDescent="0.25">
      <c r="A139" s="160">
        <v>125</v>
      </c>
      <c r="B139" s="84" t="s">
        <v>484</v>
      </c>
      <c r="C139" s="1" t="s">
        <v>56</v>
      </c>
      <c r="D139" s="155">
        <v>120</v>
      </c>
      <c r="E139" s="198"/>
      <c r="F139" s="198"/>
      <c r="G139" s="198"/>
      <c r="H139" s="198">
        <v>36.979999999999997</v>
      </c>
      <c r="I139" s="220">
        <v>12</v>
      </c>
      <c r="J139" s="220">
        <f t="shared" si="15"/>
        <v>1440</v>
      </c>
      <c r="K139" s="220">
        <v>10</v>
      </c>
      <c r="L139" s="220">
        <f t="shared" si="16"/>
        <v>1200</v>
      </c>
      <c r="M139" s="207">
        <f>AVERAGE(H139,I139,K139)</f>
        <v>19.66</v>
      </c>
      <c r="N139" s="207">
        <f t="shared" si="17"/>
        <v>2359.1999999999998</v>
      </c>
      <c r="O139" s="83"/>
      <c r="P139" s="83"/>
      <c r="Q139" s="83"/>
      <c r="R139" s="83"/>
      <c r="S139" s="83"/>
    </row>
    <row r="140" spans="1:19" ht="20.100000000000001" customHeight="1" x14ac:dyDescent="0.25">
      <c r="A140" s="160">
        <v>126</v>
      </c>
      <c r="B140" s="84" t="s">
        <v>485</v>
      </c>
      <c r="C140" s="1" t="s">
        <v>79</v>
      </c>
      <c r="D140" s="155">
        <v>24</v>
      </c>
      <c r="E140" s="198"/>
      <c r="F140" s="198"/>
      <c r="G140" s="198"/>
      <c r="H140" s="198"/>
      <c r="I140" s="220">
        <v>40</v>
      </c>
      <c r="J140" s="220">
        <f t="shared" si="15"/>
        <v>960</v>
      </c>
      <c r="K140" s="220">
        <v>6</v>
      </c>
      <c r="L140" s="220">
        <f t="shared" si="16"/>
        <v>144</v>
      </c>
      <c r="M140" s="207">
        <f>AVERAGE(I140,I140)</f>
        <v>40</v>
      </c>
      <c r="N140" s="207">
        <f t="shared" si="17"/>
        <v>960</v>
      </c>
      <c r="O140" s="83"/>
      <c r="P140" s="83"/>
      <c r="Q140" s="83"/>
      <c r="R140" s="83"/>
      <c r="S140" s="83"/>
    </row>
    <row r="141" spans="1:19" ht="38.25" x14ac:dyDescent="0.25">
      <c r="A141" s="160">
        <v>127</v>
      </c>
      <c r="B141" s="84" t="s">
        <v>486</v>
      </c>
      <c r="C141" s="1" t="s">
        <v>84</v>
      </c>
      <c r="D141" s="155">
        <v>24</v>
      </c>
      <c r="E141" s="198"/>
      <c r="F141" s="198"/>
      <c r="G141" s="198"/>
      <c r="H141" s="198">
        <v>66.900000000000006</v>
      </c>
      <c r="I141" s="220">
        <v>79</v>
      </c>
      <c r="J141" s="220">
        <f t="shared" si="15"/>
        <v>1896</v>
      </c>
      <c r="K141" s="220">
        <v>150</v>
      </c>
      <c r="L141" s="220">
        <f t="shared" si="16"/>
        <v>3600</v>
      </c>
      <c r="M141" s="207">
        <f>AVERAGE(H141,I141)</f>
        <v>72.95</v>
      </c>
      <c r="N141" s="207">
        <f t="shared" si="17"/>
        <v>1750.8000000000002</v>
      </c>
      <c r="O141" s="83"/>
      <c r="P141" s="83"/>
      <c r="Q141" s="83"/>
      <c r="R141" s="83"/>
      <c r="S141" s="83"/>
    </row>
    <row r="142" spans="1:19" ht="44.45" customHeight="1" x14ac:dyDescent="0.25">
      <c r="A142" s="160">
        <v>128</v>
      </c>
      <c r="B142" s="84" t="s">
        <v>487</v>
      </c>
      <c r="C142" s="1" t="s">
        <v>56</v>
      </c>
      <c r="D142" s="155">
        <v>120</v>
      </c>
      <c r="E142" s="198"/>
      <c r="F142" s="198"/>
      <c r="G142" s="198"/>
      <c r="H142" s="198"/>
      <c r="I142" s="220">
        <v>19</v>
      </c>
      <c r="J142" s="220">
        <f t="shared" si="15"/>
        <v>2280</v>
      </c>
      <c r="K142" s="220">
        <v>70</v>
      </c>
      <c r="L142" s="220">
        <f t="shared" si="16"/>
        <v>8400</v>
      </c>
      <c r="M142" s="207">
        <f>AVERAGE(I142)</f>
        <v>19</v>
      </c>
      <c r="N142" s="207">
        <f t="shared" si="17"/>
        <v>2280</v>
      </c>
      <c r="O142" s="83"/>
      <c r="P142" s="83"/>
      <c r="Q142" s="83"/>
      <c r="R142" s="83"/>
      <c r="S142" s="83"/>
    </row>
    <row r="143" spans="1:19" ht="36.6" customHeight="1" x14ac:dyDescent="0.25">
      <c r="A143" s="160">
        <v>129</v>
      </c>
      <c r="B143" s="84" t="s">
        <v>488</v>
      </c>
      <c r="C143" s="1" t="s">
        <v>79</v>
      </c>
      <c r="D143" s="155">
        <v>120</v>
      </c>
      <c r="E143" s="198"/>
      <c r="F143" s="198"/>
      <c r="G143" s="198"/>
      <c r="H143" s="198">
        <v>26.9</v>
      </c>
      <c r="I143" s="220">
        <v>29.9</v>
      </c>
      <c r="J143" s="220">
        <f t="shared" si="15"/>
        <v>3588</v>
      </c>
      <c r="K143" s="220">
        <v>12.5</v>
      </c>
      <c r="L143" s="220">
        <f t="shared" si="16"/>
        <v>1500</v>
      </c>
      <c r="M143" s="207">
        <f>AVERAGE(H143,I143)</f>
        <v>28.4</v>
      </c>
      <c r="N143" s="207">
        <f t="shared" si="17"/>
        <v>3408</v>
      </c>
      <c r="O143" s="83"/>
      <c r="P143" s="83"/>
      <c r="Q143" s="83"/>
      <c r="R143" s="83"/>
      <c r="S143" s="83"/>
    </row>
    <row r="144" spans="1:19" ht="36" customHeight="1" x14ac:dyDescent="0.25">
      <c r="A144" s="160">
        <v>130</v>
      </c>
      <c r="B144" s="84" t="s">
        <v>489</v>
      </c>
      <c r="C144" s="1" t="s">
        <v>85</v>
      </c>
      <c r="D144" s="155">
        <v>180</v>
      </c>
      <c r="E144" s="198"/>
      <c r="F144" s="198"/>
      <c r="G144" s="198"/>
      <c r="H144" s="198"/>
      <c r="I144" s="220">
        <v>49</v>
      </c>
      <c r="J144" s="220">
        <f t="shared" si="15"/>
        <v>8820</v>
      </c>
      <c r="K144" s="220">
        <v>115</v>
      </c>
      <c r="L144" s="220">
        <f t="shared" si="16"/>
        <v>20700</v>
      </c>
      <c r="M144" s="207">
        <f>AVERAGE(I144)</f>
        <v>49</v>
      </c>
      <c r="N144" s="207">
        <f t="shared" si="17"/>
        <v>8820</v>
      </c>
      <c r="O144" s="83"/>
      <c r="P144" s="83"/>
      <c r="Q144" s="83"/>
      <c r="R144" s="83"/>
      <c r="S144" s="83"/>
    </row>
    <row r="145" spans="1:19" ht="45.6" customHeight="1" x14ac:dyDescent="0.25">
      <c r="A145" s="160">
        <v>131</v>
      </c>
      <c r="B145" s="84" t="s">
        <v>490</v>
      </c>
      <c r="C145" s="1" t="s">
        <v>56</v>
      </c>
      <c r="D145" s="155">
        <v>120</v>
      </c>
      <c r="E145" s="198"/>
      <c r="F145" s="198"/>
      <c r="G145" s="198"/>
      <c r="H145" s="198"/>
      <c r="I145" s="220">
        <v>150</v>
      </c>
      <c r="J145" s="220">
        <f t="shared" si="15"/>
        <v>18000</v>
      </c>
      <c r="K145" s="220">
        <v>190</v>
      </c>
      <c r="L145" s="220">
        <f t="shared" si="16"/>
        <v>22800</v>
      </c>
      <c r="M145" s="207">
        <f>AVERAGE(I145,K145)</f>
        <v>170</v>
      </c>
      <c r="N145" s="207">
        <f t="shared" si="17"/>
        <v>20400</v>
      </c>
      <c r="O145" s="83"/>
      <c r="P145" s="83"/>
      <c r="Q145" s="83"/>
      <c r="R145" s="83"/>
      <c r="S145" s="83"/>
    </row>
    <row r="146" spans="1:19" ht="35.1" customHeight="1" x14ac:dyDescent="0.25">
      <c r="A146" s="160">
        <v>132</v>
      </c>
      <c r="B146" s="84" t="s">
        <v>491</v>
      </c>
      <c r="C146" s="1" t="s">
        <v>56</v>
      </c>
      <c r="D146" s="155">
        <v>60</v>
      </c>
      <c r="E146" s="198"/>
      <c r="F146" s="198"/>
      <c r="G146" s="198"/>
      <c r="H146" s="198">
        <v>35</v>
      </c>
      <c r="I146" s="220">
        <v>2</v>
      </c>
      <c r="J146" s="220">
        <f t="shared" si="15"/>
        <v>120</v>
      </c>
      <c r="K146" s="220">
        <v>3.5</v>
      </c>
      <c r="L146" s="220">
        <f t="shared" si="16"/>
        <v>210</v>
      </c>
      <c r="M146" s="207">
        <f>AVERAGE(H146)</f>
        <v>35</v>
      </c>
      <c r="N146" s="207">
        <f t="shared" si="17"/>
        <v>2100</v>
      </c>
      <c r="O146" s="83"/>
      <c r="P146" s="83"/>
      <c r="Q146" s="83"/>
      <c r="R146" s="83"/>
      <c r="S146" s="83"/>
    </row>
    <row r="147" spans="1:19" x14ac:dyDescent="0.25">
      <c r="A147" s="161"/>
      <c r="B147" s="531" t="s">
        <v>499</v>
      </c>
      <c r="C147" s="531"/>
      <c r="D147" s="531"/>
      <c r="E147" s="531"/>
      <c r="F147" s="531"/>
      <c r="G147" s="531"/>
      <c r="H147" s="531"/>
      <c r="I147" s="531"/>
      <c r="J147" s="159">
        <f>SUM(J119:J146)</f>
        <v>133138.79999999999</v>
      </c>
      <c r="K147" s="159"/>
      <c r="L147" s="159">
        <f>SUM(L119:L146)</f>
        <v>137022</v>
      </c>
      <c r="M147" s="544">
        <f>SUM(N119:N146)</f>
        <v>139966.29999999999</v>
      </c>
      <c r="N147" s="545"/>
      <c r="O147" s="83"/>
      <c r="P147" s="83"/>
      <c r="Q147" s="83"/>
      <c r="R147" s="83"/>
      <c r="S147" s="83"/>
    </row>
    <row r="148" spans="1:19" ht="23.45" customHeight="1" x14ac:dyDescent="0.25">
      <c r="A148" s="161"/>
      <c r="B148" s="531" t="s">
        <v>501</v>
      </c>
      <c r="C148" s="531"/>
      <c r="D148" s="531"/>
      <c r="E148" s="531"/>
      <c r="F148" s="531"/>
      <c r="G148" s="531"/>
      <c r="H148" s="531"/>
      <c r="I148" s="531"/>
      <c r="J148" s="159">
        <f>SUM(J117,J147)</f>
        <v>1841224.8400000003</v>
      </c>
      <c r="K148" s="159"/>
      <c r="L148" s="159"/>
      <c r="M148" s="203"/>
      <c r="N148" s="203">
        <f>M147+M117</f>
        <v>1680450.5516666672</v>
      </c>
      <c r="O148" s="83"/>
      <c r="P148" s="83"/>
      <c r="Q148" s="83"/>
      <c r="R148" s="83"/>
      <c r="S148" s="83"/>
    </row>
    <row r="149" spans="1:19" ht="23.45" customHeight="1" x14ac:dyDescent="0.25">
      <c r="A149" s="161"/>
      <c r="B149" s="531" t="s">
        <v>502</v>
      </c>
      <c r="C149" s="531"/>
      <c r="D149" s="531"/>
      <c r="E149" s="531"/>
      <c r="F149" s="531"/>
      <c r="G149" s="531"/>
      <c r="H149" s="531"/>
      <c r="I149" s="531"/>
      <c r="J149" s="159">
        <f>J148/12</f>
        <v>153435.40333333335</v>
      </c>
      <c r="K149" s="159"/>
      <c r="L149" s="159"/>
      <c r="M149" s="204"/>
      <c r="N149" s="204">
        <f>N148/12</f>
        <v>140037.54597222226</v>
      </c>
      <c r="O149" s="83"/>
      <c r="P149" s="83"/>
      <c r="Q149" s="83"/>
      <c r="R149" s="83"/>
      <c r="S149" s="83"/>
    </row>
    <row r="150" spans="1:19" x14ac:dyDescent="0.25">
      <c r="B150" s="83"/>
      <c r="C150" s="83"/>
      <c r="D150" s="83"/>
      <c r="E150" s="83"/>
      <c r="F150" s="83"/>
      <c r="G150" s="83"/>
      <c r="H150" s="83"/>
      <c r="I150" s="83"/>
      <c r="J150" s="83"/>
      <c r="K150" s="83"/>
      <c r="L150" s="83"/>
      <c r="M150" s="83"/>
      <c r="N150" s="83"/>
      <c r="O150" s="83"/>
      <c r="P150" s="83"/>
      <c r="Q150" s="83"/>
      <c r="R150" s="83"/>
      <c r="S150" s="83"/>
    </row>
    <row r="151" spans="1:19" x14ac:dyDescent="0.25">
      <c r="B151" s="83"/>
      <c r="C151" s="83"/>
      <c r="D151" s="83"/>
      <c r="E151" s="83"/>
      <c r="F151" s="83"/>
      <c r="G151" s="83"/>
      <c r="H151" s="83"/>
      <c r="I151" s="83"/>
      <c r="J151" s="83"/>
      <c r="K151" s="83"/>
      <c r="L151" s="83"/>
      <c r="M151" s="83"/>
      <c r="N151" s="83"/>
      <c r="O151" s="83"/>
      <c r="P151" s="83"/>
      <c r="Q151" s="83"/>
      <c r="R151" s="83"/>
      <c r="S151" s="83"/>
    </row>
  </sheetData>
  <mergeCells count="26">
    <mergeCell ref="M8:N9"/>
    <mergeCell ref="M10:N10"/>
    <mergeCell ref="M117:N117"/>
    <mergeCell ref="M147:N147"/>
    <mergeCell ref="B147:I147"/>
    <mergeCell ref="B117:I117"/>
    <mergeCell ref="K9:L9"/>
    <mergeCell ref="K10:L10"/>
    <mergeCell ref="A8:L8"/>
    <mergeCell ref="A9:D9"/>
    <mergeCell ref="I9:J9"/>
    <mergeCell ref="B149:I149"/>
    <mergeCell ref="B148:I148"/>
    <mergeCell ref="I10:J10"/>
    <mergeCell ref="B10:B11"/>
    <mergeCell ref="C10:C11"/>
    <mergeCell ref="D10:D11"/>
    <mergeCell ref="A118:J118"/>
    <mergeCell ref="A10:A11"/>
    <mergeCell ref="A7:N7"/>
    <mergeCell ref="A6:J6"/>
    <mergeCell ref="A1:D1"/>
    <mergeCell ref="A2:D2"/>
    <mergeCell ref="A3:J3"/>
    <mergeCell ref="A4:I4"/>
    <mergeCell ref="A5:D5"/>
  </mergeCells>
  <phoneticPr fontId="49" type="noConversion"/>
  <hyperlinks>
    <hyperlink ref="B70" r:id="rId1" display="http://www.superepi.com.br/pesquisa/?p=ksn" xr:uid="{00000000-0004-0000-0800-000000000000}"/>
  </hyperlinks>
  <pageMargins left="0.78740157480314965" right="0.78740157480314965" top="0.78740157480314965" bottom="0.78740157480314965" header="0.31496062992125984" footer="0.31496062992125984"/>
  <pageSetup paperSize="9" scale="95" orientation="portrait" verticalDpi="12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7"/>
  <sheetViews>
    <sheetView topLeftCell="A16" zoomScale="130" zoomScaleNormal="130" workbookViewId="0">
      <selection activeCell="F37" sqref="F37"/>
    </sheetView>
  </sheetViews>
  <sheetFormatPr defaultRowHeight="15" x14ac:dyDescent="0.25"/>
  <cols>
    <col min="1" max="1" width="4.5703125" customWidth="1"/>
    <col min="2" max="2" width="26.42578125" customWidth="1"/>
    <col min="3" max="3" width="6" customWidth="1"/>
    <col min="4" max="4" width="7.140625" customWidth="1"/>
    <col min="5" max="5" width="7.42578125" customWidth="1"/>
    <col min="6" max="6" width="8.85546875" customWidth="1"/>
  </cols>
  <sheetData>
    <row r="1" spans="1:6" x14ac:dyDescent="0.25">
      <c r="A1" s="528" t="s">
        <v>0</v>
      </c>
      <c r="B1" s="528"/>
      <c r="C1" s="528"/>
      <c r="D1" s="528"/>
      <c r="E1" s="2"/>
      <c r="F1" s="2"/>
    </row>
    <row r="2" spans="1:6" x14ac:dyDescent="0.25">
      <c r="A2" s="529" t="s">
        <v>1</v>
      </c>
      <c r="B2" s="529"/>
      <c r="C2" s="529"/>
      <c r="D2" s="529"/>
      <c r="E2" s="2"/>
      <c r="F2" s="2"/>
    </row>
    <row r="3" spans="1:6" x14ac:dyDescent="0.25">
      <c r="A3" s="529" t="s">
        <v>2</v>
      </c>
      <c r="B3" s="529"/>
      <c r="C3" s="529"/>
      <c r="D3" s="529"/>
      <c r="E3" s="529"/>
      <c r="F3" s="529"/>
    </row>
    <row r="4" spans="1:6" x14ac:dyDescent="0.25">
      <c r="A4" s="530" t="s">
        <v>3</v>
      </c>
      <c r="B4" s="530"/>
      <c r="C4" s="530"/>
      <c r="D4" s="530"/>
      <c r="E4" s="530"/>
      <c r="F4" s="2"/>
    </row>
    <row r="5" spans="1:6" x14ac:dyDescent="0.25">
      <c r="A5" s="530" t="s">
        <v>4</v>
      </c>
      <c r="B5" s="530"/>
      <c r="C5" s="530"/>
      <c r="D5" s="530"/>
      <c r="E5" s="2"/>
      <c r="F5" s="2"/>
    </row>
    <row r="6" spans="1:6" x14ac:dyDescent="0.25">
      <c r="A6" s="555"/>
      <c r="B6" s="555"/>
      <c r="C6" s="555"/>
      <c r="D6" s="555"/>
      <c r="E6" s="555"/>
      <c r="F6" s="555"/>
    </row>
    <row r="7" spans="1:6" ht="48" customHeight="1" x14ac:dyDescent="0.25">
      <c r="A7" s="556" t="s">
        <v>531</v>
      </c>
      <c r="B7" s="556"/>
      <c r="C7" s="556"/>
      <c r="D7" s="556"/>
      <c r="E7" s="556"/>
      <c r="F7" s="556"/>
    </row>
    <row r="8" spans="1:6" x14ac:dyDescent="0.25">
      <c r="A8" s="554"/>
      <c r="B8" s="554"/>
      <c r="C8" s="554"/>
      <c r="D8" s="554"/>
      <c r="E8" s="554"/>
      <c r="F8" s="554"/>
    </row>
    <row r="9" spans="1:6" ht="15" customHeight="1" x14ac:dyDescent="0.25">
      <c r="A9" s="552" t="s">
        <v>5</v>
      </c>
      <c r="B9" s="552" t="s">
        <v>6</v>
      </c>
      <c r="C9" s="552" t="s">
        <v>7</v>
      </c>
      <c r="D9" s="552" t="s">
        <v>8</v>
      </c>
      <c r="E9" s="557" t="s">
        <v>9</v>
      </c>
      <c r="F9" s="558"/>
    </row>
    <row r="10" spans="1:6" x14ac:dyDescent="0.25">
      <c r="A10" s="553"/>
      <c r="B10" s="553"/>
      <c r="C10" s="553"/>
      <c r="D10" s="553"/>
      <c r="E10" s="1" t="s">
        <v>35</v>
      </c>
      <c r="F10" s="1" t="s">
        <v>36</v>
      </c>
    </row>
    <row r="11" spans="1:6" x14ac:dyDescent="0.25">
      <c r="A11" s="1">
        <v>1</v>
      </c>
      <c r="B11" s="5" t="s">
        <v>10</v>
      </c>
      <c r="C11" s="1" t="s">
        <v>11</v>
      </c>
      <c r="D11" s="80">
        <v>2</v>
      </c>
      <c r="E11" s="3">
        <f>'Uniformes Por Categoria'!L41</f>
        <v>28.375</v>
      </c>
      <c r="F11" s="3">
        <f>D11*E11</f>
        <v>56.75</v>
      </c>
    </row>
    <row r="12" spans="1:6" x14ac:dyDescent="0.25">
      <c r="A12" s="1">
        <v>2</v>
      </c>
      <c r="B12" s="5" t="s">
        <v>562</v>
      </c>
      <c r="C12" s="1" t="s">
        <v>11</v>
      </c>
      <c r="D12" s="80">
        <v>2</v>
      </c>
      <c r="E12" s="3">
        <f>'Uniformes Por Categoria'!L51</f>
        <v>22.125</v>
      </c>
      <c r="F12" s="3">
        <f t="shared" ref="F12:F36" si="0">D12*E12</f>
        <v>44.25</v>
      </c>
    </row>
    <row r="13" spans="1:6" x14ac:dyDescent="0.25">
      <c r="A13" s="1">
        <v>3</v>
      </c>
      <c r="B13" s="5" t="s">
        <v>12</v>
      </c>
      <c r="C13" s="1" t="s">
        <v>11</v>
      </c>
      <c r="D13" s="80">
        <v>2</v>
      </c>
      <c r="E13" s="3">
        <f>'Uniformes Por Categoria'!L11</f>
        <v>128.875</v>
      </c>
      <c r="F13" s="3">
        <f t="shared" si="0"/>
        <v>257.75</v>
      </c>
    </row>
    <row r="14" spans="1:6" x14ac:dyDescent="0.25">
      <c r="A14" s="1">
        <v>4</v>
      </c>
      <c r="B14" s="5" t="s">
        <v>13</v>
      </c>
      <c r="C14" s="1" t="s">
        <v>11</v>
      </c>
      <c r="D14" s="80">
        <v>2</v>
      </c>
      <c r="E14" s="3">
        <f>'Uniformes Por Categoria'!L12</f>
        <v>126.5</v>
      </c>
      <c r="F14" s="3">
        <f t="shared" si="0"/>
        <v>253</v>
      </c>
    </row>
    <row r="15" spans="1:6" x14ac:dyDescent="0.25">
      <c r="A15" s="1">
        <v>5</v>
      </c>
      <c r="B15" s="5" t="s">
        <v>14</v>
      </c>
      <c r="C15" s="1" t="s">
        <v>11</v>
      </c>
      <c r="D15" s="80">
        <v>3</v>
      </c>
      <c r="E15" s="3">
        <f>'Uniformes Por Categoria'!L32</f>
        <v>29.25</v>
      </c>
      <c r="F15" s="3">
        <f t="shared" si="0"/>
        <v>87.75</v>
      </c>
    </row>
    <row r="16" spans="1:6" x14ac:dyDescent="0.25">
      <c r="A16" s="1">
        <v>6</v>
      </c>
      <c r="B16" s="5" t="s">
        <v>15</v>
      </c>
      <c r="C16" s="1" t="s">
        <v>16</v>
      </c>
      <c r="D16" s="80">
        <v>27</v>
      </c>
      <c r="E16" s="3">
        <f>'Uniformes Por Categoria'!L43</f>
        <v>77.375</v>
      </c>
      <c r="F16" s="3">
        <f t="shared" si="0"/>
        <v>2089.125</v>
      </c>
    </row>
    <row r="17" spans="1:6" x14ac:dyDescent="0.25">
      <c r="A17" s="1">
        <v>7</v>
      </c>
      <c r="B17" s="5" t="s">
        <v>17</v>
      </c>
      <c r="C17" s="1" t="s">
        <v>16</v>
      </c>
      <c r="D17" s="80">
        <v>87</v>
      </c>
      <c r="E17" s="3">
        <f>'Uniformes Por Categoria'!L53</f>
        <v>91.375</v>
      </c>
      <c r="F17" s="3">
        <f t="shared" si="0"/>
        <v>7949.625</v>
      </c>
    </row>
    <row r="18" spans="1:6" x14ac:dyDescent="0.25">
      <c r="A18" s="1">
        <v>8</v>
      </c>
      <c r="B18" s="5" t="s">
        <v>18</v>
      </c>
      <c r="C18" s="1" t="s">
        <v>16</v>
      </c>
      <c r="D18" s="80">
        <v>4</v>
      </c>
      <c r="E18" s="3">
        <f>'Uniformes Por Categoria'!L53</f>
        <v>91.375</v>
      </c>
      <c r="F18" s="3">
        <f t="shared" si="0"/>
        <v>365.5</v>
      </c>
    </row>
    <row r="19" spans="1:6" x14ac:dyDescent="0.25">
      <c r="A19" s="1">
        <v>9</v>
      </c>
      <c r="B19" s="5" t="s">
        <v>563</v>
      </c>
      <c r="C19" s="1" t="s">
        <v>11</v>
      </c>
      <c r="D19" s="80">
        <f>88+8+4</f>
        <v>100</v>
      </c>
      <c r="E19" s="3">
        <f>'Uniformes Por Categoria'!L45</f>
        <v>86.25</v>
      </c>
      <c r="F19" s="3">
        <f t="shared" si="0"/>
        <v>8625</v>
      </c>
    </row>
    <row r="20" spans="1:6" x14ac:dyDescent="0.25">
      <c r="A20" s="1">
        <v>10</v>
      </c>
      <c r="B20" s="5" t="s">
        <v>19</v>
      </c>
      <c r="C20" s="1" t="s">
        <v>11</v>
      </c>
      <c r="D20" s="80">
        <v>4</v>
      </c>
      <c r="E20" s="3">
        <f>'Uniformes Por Categoria'!L17</f>
        <v>71.959999999999994</v>
      </c>
      <c r="F20" s="3">
        <f t="shared" si="0"/>
        <v>287.83999999999997</v>
      </c>
    </row>
    <row r="21" spans="1:6" x14ac:dyDescent="0.25">
      <c r="A21" s="1">
        <v>11</v>
      </c>
      <c r="B21" s="5" t="s">
        <v>42</v>
      </c>
      <c r="C21" s="1" t="s">
        <v>11</v>
      </c>
      <c r="D21" s="80">
        <v>4</v>
      </c>
      <c r="E21" s="3">
        <f>'Uniformes Por Categoria'!L16</f>
        <v>71.926666666666662</v>
      </c>
      <c r="F21" s="3">
        <f t="shared" si="0"/>
        <v>287.70666666666665</v>
      </c>
    </row>
    <row r="22" spans="1:6" x14ac:dyDescent="0.25">
      <c r="A22" s="1">
        <v>12</v>
      </c>
      <c r="B22" s="5" t="s">
        <v>20</v>
      </c>
      <c r="C22" s="1" t="s">
        <v>11</v>
      </c>
      <c r="D22" s="80">
        <v>4</v>
      </c>
      <c r="E22" s="3">
        <f>'Uniformes Por Categoria'!L16</f>
        <v>71.926666666666662</v>
      </c>
      <c r="F22" s="3">
        <f t="shared" si="0"/>
        <v>287.70666666666665</v>
      </c>
    </row>
    <row r="23" spans="1:6" x14ac:dyDescent="0.25">
      <c r="A23" s="1">
        <v>13</v>
      </c>
      <c r="B23" s="5" t="s">
        <v>21</v>
      </c>
      <c r="C23" s="1" t="s">
        <v>11</v>
      </c>
      <c r="D23" s="80">
        <v>4</v>
      </c>
      <c r="E23" s="3">
        <f>'Uniformes Por Categoria'!L17</f>
        <v>71.959999999999994</v>
      </c>
      <c r="F23" s="3">
        <f t="shared" si="0"/>
        <v>287.83999999999997</v>
      </c>
    </row>
    <row r="24" spans="1:6" x14ac:dyDescent="0.25">
      <c r="A24" s="1">
        <v>14</v>
      </c>
      <c r="B24" s="5" t="s">
        <v>22</v>
      </c>
      <c r="C24" s="1" t="s">
        <v>11</v>
      </c>
      <c r="D24" s="80">
        <v>116</v>
      </c>
      <c r="E24" s="3">
        <f>'Uniformes Por Categoria'!L27</f>
        <v>52</v>
      </c>
      <c r="F24" s="3">
        <f t="shared" si="0"/>
        <v>6032</v>
      </c>
    </row>
    <row r="25" spans="1:6" x14ac:dyDescent="0.25">
      <c r="A25" s="1">
        <v>15</v>
      </c>
      <c r="B25" s="5" t="s">
        <v>23</v>
      </c>
      <c r="C25" s="1" t="s">
        <v>11</v>
      </c>
      <c r="D25" s="80">
        <v>60</v>
      </c>
      <c r="E25" s="3">
        <f>'Uniformes Por Categoria'!L28</f>
        <v>61.25</v>
      </c>
      <c r="F25" s="3">
        <f t="shared" si="0"/>
        <v>3675</v>
      </c>
    </row>
    <row r="26" spans="1:6" x14ac:dyDescent="0.25">
      <c r="A26" s="1">
        <v>16</v>
      </c>
      <c r="B26" s="5" t="s">
        <v>24</v>
      </c>
      <c r="C26" s="1" t="s">
        <v>11</v>
      </c>
      <c r="D26" s="80">
        <v>2</v>
      </c>
      <c r="E26" s="3">
        <f>'Uniformes Por Categoria'!L49</f>
        <v>28.125</v>
      </c>
      <c r="F26" s="3">
        <f t="shared" si="0"/>
        <v>56.25</v>
      </c>
    </row>
    <row r="27" spans="1:6" x14ac:dyDescent="0.25">
      <c r="A27" s="1">
        <v>17</v>
      </c>
      <c r="B27" s="5" t="s">
        <v>25</v>
      </c>
      <c r="C27" s="1" t="s">
        <v>11</v>
      </c>
      <c r="D27" s="80">
        <v>4</v>
      </c>
      <c r="E27" s="3">
        <f>'Uniformes Por Categoria'!L38</f>
        <v>80</v>
      </c>
      <c r="F27" s="3">
        <f t="shared" si="0"/>
        <v>320</v>
      </c>
    </row>
    <row r="28" spans="1:6" x14ac:dyDescent="0.25">
      <c r="A28" s="1">
        <v>18</v>
      </c>
      <c r="B28" s="5" t="s">
        <v>26</v>
      </c>
      <c r="C28" s="1" t="s">
        <v>11</v>
      </c>
      <c r="D28" s="80">
        <v>30</v>
      </c>
      <c r="E28" s="3">
        <f>'Uniformes Por Categoria'!L48</f>
        <v>60</v>
      </c>
      <c r="F28" s="3">
        <f t="shared" si="0"/>
        <v>1800</v>
      </c>
    </row>
    <row r="29" spans="1:6" x14ac:dyDescent="0.25">
      <c r="A29" s="1">
        <v>19</v>
      </c>
      <c r="B29" s="5" t="s">
        <v>27</v>
      </c>
      <c r="C29" s="1" t="s">
        <v>11</v>
      </c>
      <c r="D29" s="80">
        <v>4</v>
      </c>
      <c r="E29" s="3">
        <f>'Uniformes Por Categoria'!L19</f>
        <v>39.450000000000003</v>
      </c>
      <c r="F29" s="3">
        <f t="shared" si="0"/>
        <v>157.80000000000001</v>
      </c>
    </row>
    <row r="30" spans="1:6" x14ac:dyDescent="0.25">
      <c r="A30" s="1">
        <v>20</v>
      </c>
      <c r="B30" s="5" t="s">
        <v>564</v>
      </c>
      <c r="C30" s="1" t="s">
        <v>7</v>
      </c>
      <c r="D30" s="80">
        <v>8</v>
      </c>
      <c r="E30" s="3">
        <f>'Uniformes Por Categoria'!L30</f>
        <v>117.5</v>
      </c>
      <c r="F30" s="3">
        <f t="shared" si="0"/>
        <v>940</v>
      </c>
    </row>
    <row r="31" spans="1:6" x14ac:dyDescent="0.25">
      <c r="A31" s="1">
        <v>21</v>
      </c>
      <c r="B31" s="5" t="s">
        <v>28</v>
      </c>
      <c r="C31" s="1" t="s">
        <v>7</v>
      </c>
      <c r="D31" s="80">
        <v>2</v>
      </c>
      <c r="E31" s="3">
        <f>'Uniformes Por Categoria'!L20</f>
        <v>19.875</v>
      </c>
      <c r="F31" s="3">
        <f t="shared" si="0"/>
        <v>39.75</v>
      </c>
    </row>
    <row r="32" spans="1:6" x14ac:dyDescent="0.25">
      <c r="A32" s="1">
        <v>22</v>
      </c>
      <c r="B32" s="5" t="s">
        <v>29</v>
      </c>
      <c r="C32" s="1" t="s">
        <v>7</v>
      </c>
      <c r="D32" s="80">
        <v>2</v>
      </c>
      <c r="E32" s="3">
        <f>'Uniformes Por Categoria'!L21</f>
        <v>21.125</v>
      </c>
      <c r="F32" s="3">
        <f t="shared" si="0"/>
        <v>42.25</v>
      </c>
    </row>
    <row r="33" spans="1:6" x14ac:dyDescent="0.25">
      <c r="A33" s="1">
        <v>23</v>
      </c>
      <c r="B33" s="5" t="s">
        <v>30</v>
      </c>
      <c r="C33" s="1" t="s">
        <v>7</v>
      </c>
      <c r="D33" s="80">
        <v>4</v>
      </c>
      <c r="E33" s="3">
        <f>'Uniformes Por Categoria'!L66</f>
        <v>370.89</v>
      </c>
      <c r="F33" s="3">
        <f t="shared" si="0"/>
        <v>1483.56</v>
      </c>
    </row>
    <row r="34" spans="1:6" x14ac:dyDescent="0.25">
      <c r="A34" s="1">
        <v>24</v>
      </c>
      <c r="B34" s="5" t="s">
        <v>31</v>
      </c>
      <c r="C34" s="1" t="s">
        <v>16</v>
      </c>
      <c r="D34" s="80">
        <v>248</v>
      </c>
      <c r="E34" s="3">
        <f>'Uniformes Por Categoria'!L67</f>
        <v>6.5</v>
      </c>
      <c r="F34" s="3">
        <f t="shared" si="0"/>
        <v>1612</v>
      </c>
    </row>
    <row r="35" spans="1:6" x14ac:dyDescent="0.25">
      <c r="A35" s="1">
        <v>25</v>
      </c>
      <c r="B35" s="5" t="s">
        <v>32</v>
      </c>
      <c r="C35" s="1" t="s">
        <v>16</v>
      </c>
      <c r="D35" s="80">
        <v>4</v>
      </c>
      <c r="E35" s="3">
        <f>'Uniformes Por Categoria'!L23</f>
        <v>45</v>
      </c>
      <c r="F35" s="3">
        <f t="shared" si="0"/>
        <v>180</v>
      </c>
    </row>
    <row r="36" spans="1:6" x14ac:dyDescent="0.25">
      <c r="A36" s="1">
        <v>26</v>
      </c>
      <c r="B36" s="5" t="s">
        <v>33</v>
      </c>
      <c r="C36" s="1" t="s">
        <v>16</v>
      </c>
      <c r="D36" s="80">
        <v>4</v>
      </c>
      <c r="E36" s="3">
        <f>'Uniformes Por Categoria'!L24</f>
        <v>72.375</v>
      </c>
      <c r="F36" s="3">
        <f t="shared" si="0"/>
        <v>289.5</v>
      </c>
    </row>
    <row r="37" spans="1:6" ht="15" customHeight="1" x14ac:dyDescent="0.25">
      <c r="A37" s="546" t="s">
        <v>34</v>
      </c>
      <c r="B37" s="547"/>
      <c r="C37" s="547"/>
      <c r="D37" s="547"/>
      <c r="E37" s="548"/>
      <c r="F37" s="4">
        <f>SUM(F11:F36)</f>
        <v>37507.953333333331</v>
      </c>
    </row>
  </sheetData>
  <mergeCells count="14">
    <mergeCell ref="D9:D10"/>
    <mergeCell ref="A8:F8"/>
    <mergeCell ref="A6:F6"/>
    <mergeCell ref="A37:E37"/>
    <mergeCell ref="A1:D1"/>
    <mergeCell ref="A2:D2"/>
    <mergeCell ref="A3:F3"/>
    <mergeCell ref="A4:E4"/>
    <mergeCell ref="A5:D5"/>
    <mergeCell ref="A7:F7"/>
    <mergeCell ref="E9:F9"/>
    <mergeCell ref="A9:A10"/>
    <mergeCell ref="B9:B10"/>
    <mergeCell ref="C9:C10"/>
  </mergeCells>
  <pageMargins left="0.511811024" right="0.511811024" top="0.78740157499999996" bottom="0.78740157499999996" header="0.31496062000000002" footer="0.31496062000000002"/>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76"/>
  <sheetViews>
    <sheetView topLeftCell="A53" zoomScale="80" zoomScaleNormal="80" workbookViewId="0">
      <selection activeCell="O51" sqref="O51:O58"/>
    </sheetView>
  </sheetViews>
  <sheetFormatPr defaultRowHeight="15" x14ac:dyDescent="0.25"/>
  <cols>
    <col min="1" max="1" width="13.5703125" style="79" customWidth="1"/>
    <col min="2" max="2" width="34.85546875" customWidth="1"/>
    <col min="3" max="3" width="7.85546875" customWidth="1"/>
    <col min="4" max="4" width="6.42578125" customWidth="1"/>
    <col min="5" max="5" width="8.28515625" customWidth="1"/>
    <col min="6" max="6" width="7.140625" customWidth="1"/>
    <col min="7" max="7" width="19.28515625" customWidth="1"/>
    <col min="8" max="8" width="21.42578125" customWidth="1"/>
    <col min="9" max="9" width="19.42578125" customWidth="1"/>
    <col min="10" max="10" width="24.5703125" customWidth="1"/>
    <col min="11" max="11" width="25.28515625" customWidth="1"/>
    <col min="12" max="12" width="13.28515625" customWidth="1"/>
    <col min="13" max="13" width="11.7109375" customWidth="1"/>
    <col min="14" max="14" width="12.42578125" customWidth="1"/>
    <col min="15" max="15" width="11" style="83" customWidth="1"/>
  </cols>
  <sheetData>
    <row r="1" spans="1:20" x14ac:dyDescent="0.25">
      <c r="A1" s="528" t="s">
        <v>0</v>
      </c>
      <c r="B1" s="528"/>
      <c r="C1" s="528"/>
      <c r="D1" s="528"/>
      <c r="E1" s="82"/>
      <c r="F1" s="82"/>
      <c r="G1" s="82"/>
      <c r="H1" s="82"/>
      <c r="I1" s="82"/>
      <c r="J1" s="82"/>
      <c r="K1" s="83"/>
      <c r="L1" s="83"/>
      <c r="M1" s="83"/>
    </row>
    <row r="2" spans="1:20" x14ac:dyDescent="0.25">
      <c r="A2" s="529" t="s">
        <v>1</v>
      </c>
      <c r="B2" s="529"/>
      <c r="C2" s="529"/>
      <c r="D2" s="529"/>
      <c r="E2" s="82"/>
      <c r="F2" s="82"/>
      <c r="G2" s="82"/>
      <c r="H2" s="82"/>
      <c r="I2" s="82"/>
      <c r="J2" s="82"/>
      <c r="K2" s="83"/>
      <c r="L2" s="83"/>
      <c r="M2" s="83"/>
    </row>
    <row r="3" spans="1:20" x14ac:dyDescent="0.25">
      <c r="A3" s="529" t="s">
        <v>2</v>
      </c>
      <c r="B3" s="529"/>
      <c r="C3" s="529"/>
      <c r="D3" s="529"/>
      <c r="E3" s="529"/>
      <c r="F3" s="529"/>
      <c r="G3" s="180"/>
      <c r="H3" s="180"/>
      <c r="I3" s="180"/>
      <c r="J3" s="180"/>
      <c r="K3" s="83"/>
      <c r="L3" s="83"/>
      <c r="M3" s="83"/>
    </row>
    <row r="4" spans="1:20" x14ac:dyDescent="0.25">
      <c r="A4" s="530" t="s">
        <v>3</v>
      </c>
      <c r="B4" s="530"/>
      <c r="C4" s="530"/>
      <c r="D4" s="530"/>
      <c r="E4" s="530"/>
      <c r="F4" s="82"/>
      <c r="G4" s="82"/>
      <c r="H4" s="82"/>
      <c r="I4" s="82"/>
      <c r="J4" s="82"/>
      <c r="K4" s="83"/>
      <c r="L4" s="83"/>
      <c r="M4" s="83"/>
    </row>
    <row r="5" spans="1:20" x14ac:dyDescent="0.25">
      <c r="A5" s="530" t="s">
        <v>4</v>
      </c>
      <c r="B5" s="530"/>
      <c r="C5" s="530"/>
      <c r="D5" s="530"/>
      <c r="E5" s="82"/>
      <c r="F5" s="82"/>
      <c r="G5" s="82"/>
      <c r="H5" s="82"/>
      <c r="I5" s="82"/>
      <c r="J5" s="82"/>
      <c r="K5" s="83"/>
      <c r="L5" s="83"/>
      <c r="M5" s="83"/>
      <c r="T5" s="230"/>
    </row>
    <row r="6" spans="1:20" ht="15.75" thickBot="1" x14ac:dyDescent="0.3">
      <c r="A6" s="581"/>
      <c r="B6" s="581"/>
      <c r="C6" s="581"/>
      <c r="D6" s="581"/>
      <c r="E6" s="581"/>
      <c r="F6" s="581"/>
      <c r="G6" s="196"/>
      <c r="H6" s="196"/>
      <c r="I6" s="196"/>
      <c r="J6" s="196"/>
      <c r="K6" s="83"/>
      <c r="L6" s="83"/>
      <c r="M6" s="83"/>
      <c r="T6" s="230"/>
    </row>
    <row r="7" spans="1:20" ht="48" customHeight="1" thickBot="1" x14ac:dyDescent="0.3">
      <c r="A7" s="586" t="s">
        <v>522</v>
      </c>
      <c r="B7" s="587"/>
      <c r="C7" s="587"/>
      <c r="D7" s="587"/>
      <c r="E7" s="587"/>
      <c r="F7" s="587"/>
      <c r="G7" s="587"/>
      <c r="H7" s="587"/>
      <c r="I7" s="587"/>
      <c r="J7" s="587"/>
      <c r="K7" s="587"/>
      <c r="L7" s="587"/>
      <c r="M7" s="587"/>
      <c r="N7" s="587"/>
      <c r="O7" s="588"/>
      <c r="T7" s="230"/>
    </row>
    <row r="8" spans="1:20" ht="15.75" thickBot="1" x14ac:dyDescent="0.3">
      <c r="A8" s="582"/>
      <c r="B8" s="583"/>
      <c r="C8" s="583"/>
      <c r="D8" s="583"/>
      <c r="E8" s="583"/>
      <c r="F8" s="583"/>
      <c r="G8" s="583"/>
      <c r="H8" s="583"/>
      <c r="I8" s="583"/>
      <c r="J8" s="583"/>
      <c r="K8" s="583"/>
      <c r="L8" s="232"/>
      <c r="M8" s="232"/>
      <c r="N8" s="233"/>
      <c r="O8" s="234"/>
      <c r="T8" s="230"/>
    </row>
    <row r="9" spans="1:20" ht="57" customHeight="1" x14ac:dyDescent="0.25">
      <c r="A9" s="584" t="s">
        <v>37</v>
      </c>
      <c r="B9" s="584" t="s">
        <v>6</v>
      </c>
      <c r="C9" s="584" t="s">
        <v>38</v>
      </c>
      <c r="D9" s="584" t="s">
        <v>39</v>
      </c>
      <c r="E9" s="584" t="s">
        <v>40</v>
      </c>
      <c r="F9" s="584" t="s">
        <v>41</v>
      </c>
      <c r="G9" s="246" t="s">
        <v>583</v>
      </c>
      <c r="H9" s="246" t="s">
        <v>575</v>
      </c>
      <c r="I9" s="246" t="s">
        <v>574</v>
      </c>
      <c r="J9" s="246" t="s">
        <v>552</v>
      </c>
      <c r="K9" s="247" t="s">
        <v>543</v>
      </c>
      <c r="L9" s="563" t="s">
        <v>550</v>
      </c>
      <c r="M9" s="564"/>
      <c r="N9" s="564"/>
      <c r="O9" s="565"/>
      <c r="T9" s="230"/>
    </row>
    <row r="10" spans="1:20" ht="38.25" customHeight="1" thickBot="1" x14ac:dyDescent="0.3">
      <c r="A10" s="585"/>
      <c r="B10" s="585"/>
      <c r="C10" s="585"/>
      <c r="D10" s="585"/>
      <c r="E10" s="585"/>
      <c r="F10" s="585"/>
      <c r="G10" s="248" t="s">
        <v>35</v>
      </c>
      <c r="H10" s="248" t="s">
        <v>35</v>
      </c>
      <c r="I10" s="248" t="s">
        <v>35</v>
      </c>
      <c r="J10" s="248" t="s">
        <v>35</v>
      </c>
      <c r="K10" s="248" t="s">
        <v>35</v>
      </c>
      <c r="L10" s="248" t="s">
        <v>558</v>
      </c>
      <c r="M10" s="248" t="s">
        <v>557</v>
      </c>
      <c r="N10" s="248" t="s">
        <v>41</v>
      </c>
      <c r="O10" s="249" t="s">
        <v>216</v>
      </c>
    </row>
    <row r="11" spans="1:20" ht="28.5" customHeight="1" x14ac:dyDescent="0.25">
      <c r="A11" s="566" t="s">
        <v>570</v>
      </c>
      <c r="B11" s="186" t="s">
        <v>578</v>
      </c>
      <c r="C11" s="186" t="s">
        <v>11</v>
      </c>
      <c r="D11" s="187">
        <v>2</v>
      </c>
      <c r="E11" s="187">
        <v>1</v>
      </c>
      <c r="F11" s="188">
        <f>E11*D11</f>
        <v>2</v>
      </c>
      <c r="G11" s="216"/>
      <c r="H11" s="216">
        <v>131.30000000000001</v>
      </c>
      <c r="I11" s="216"/>
      <c r="J11" s="216">
        <v>199.75</v>
      </c>
      <c r="K11" s="253">
        <f>'[3]Uniformes Total'!E12</f>
        <v>58</v>
      </c>
      <c r="L11" s="216">
        <f>AVERAGE(K11,J11)</f>
        <v>128.875</v>
      </c>
      <c r="M11" s="216">
        <f>L11*F11</f>
        <v>257.75</v>
      </c>
      <c r="N11" s="572">
        <f>SUM(M11:M24)</f>
        <v>2523.9716666666668</v>
      </c>
      <c r="O11" s="569">
        <f>N11/12/1</f>
        <v>210.33097222222224</v>
      </c>
    </row>
    <row r="12" spans="1:20" ht="25.5" x14ac:dyDescent="0.25">
      <c r="A12" s="567"/>
      <c r="B12" s="84" t="s">
        <v>579</v>
      </c>
      <c r="C12" s="84" t="s">
        <v>11</v>
      </c>
      <c r="D12" s="80">
        <v>2</v>
      </c>
      <c r="E12" s="80">
        <v>1</v>
      </c>
      <c r="F12" s="85">
        <f t="shared" ref="F12:F24" si="0">E12*D12</f>
        <v>2</v>
      </c>
      <c r="G12" s="217"/>
      <c r="H12" s="217">
        <v>131.30000000000001</v>
      </c>
      <c r="I12" s="217"/>
      <c r="J12" s="217">
        <v>195</v>
      </c>
      <c r="K12" s="231">
        <f>'[3]Uniformes Total'!E13</f>
        <v>58</v>
      </c>
      <c r="L12" s="217">
        <f>AVERAGE(K12,J12)</f>
        <v>126.5</v>
      </c>
      <c r="M12" s="217">
        <f t="shared" ref="M12:M67" si="1">L12*F12</f>
        <v>253</v>
      </c>
      <c r="N12" s="573"/>
      <c r="O12" s="570"/>
    </row>
    <row r="13" spans="1:20" x14ac:dyDescent="0.25">
      <c r="A13" s="567"/>
      <c r="B13" s="84" t="s">
        <v>15</v>
      </c>
      <c r="C13" s="84" t="s">
        <v>16</v>
      </c>
      <c r="D13" s="80">
        <v>1</v>
      </c>
      <c r="E13" s="80">
        <v>1</v>
      </c>
      <c r="F13" s="85">
        <f t="shared" si="0"/>
        <v>1</v>
      </c>
      <c r="G13" s="217">
        <v>72</v>
      </c>
      <c r="H13" s="217"/>
      <c r="I13" s="217"/>
      <c r="J13" s="217">
        <v>99.75</v>
      </c>
      <c r="K13" s="231">
        <f>'[3]Uniformes Total'!E15</f>
        <v>55</v>
      </c>
      <c r="L13" s="217">
        <f>AVERAGE(J13,K13)</f>
        <v>77.375</v>
      </c>
      <c r="M13" s="217">
        <f t="shared" si="1"/>
        <v>77.375</v>
      </c>
      <c r="N13" s="573"/>
      <c r="O13" s="570"/>
      <c r="T13" s="230"/>
    </row>
    <row r="14" spans="1:20" ht="25.5" x14ac:dyDescent="0.25">
      <c r="A14" s="567"/>
      <c r="B14" s="84" t="s">
        <v>576</v>
      </c>
      <c r="C14" s="84" t="s">
        <v>11</v>
      </c>
      <c r="D14" s="80">
        <v>4</v>
      </c>
      <c r="E14" s="80">
        <v>1</v>
      </c>
      <c r="F14" s="85">
        <f t="shared" si="0"/>
        <v>4</v>
      </c>
      <c r="G14" s="217"/>
      <c r="H14" s="217">
        <v>39.9</v>
      </c>
      <c r="I14" s="217"/>
      <c r="J14" s="217">
        <v>87.25</v>
      </c>
      <c r="K14" s="231">
        <f>'[3]Uniformes Total'!E18</f>
        <v>60</v>
      </c>
      <c r="L14" s="217">
        <f>AVERAGE(J14,K14)</f>
        <v>73.625</v>
      </c>
      <c r="M14" s="217">
        <f t="shared" si="1"/>
        <v>294.5</v>
      </c>
      <c r="N14" s="573"/>
      <c r="O14" s="570"/>
    </row>
    <row r="15" spans="1:20" ht="25.5" x14ac:dyDescent="0.25">
      <c r="A15" s="567"/>
      <c r="B15" s="84" t="s">
        <v>577</v>
      </c>
      <c r="C15" s="84" t="s">
        <v>11</v>
      </c>
      <c r="D15" s="80">
        <v>4</v>
      </c>
      <c r="E15" s="80">
        <v>1</v>
      </c>
      <c r="F15" s="85">
        <f t="shared" si="0"/>
        <v>4</v>
      </c>
      <c r="G15" s="217"/>
      <c r="H15" s="217">
        <v>39.9</v>
      </c>
      <c r="I15" s="217"/>
      <c r="J15" s="217">
        <v>92.25</v>
      </c>
      <c r="K15" s="231">
        <f>'[3]Uniformes Total'!E19</f>
        <v>60</v>
      </c>
      <c r="L15" s="217">
        <f t="shared" ref="L15:L24" si="2">AVERAGE(J15,K15)</f>
        <v>76.125</v>
      </c>
      <c r="M15" s="217">
        <f t="shared" si="1"/>
        <v>304.5</v>
      </c>
      <c r="N15" s="573"/>
      <c r="O15" s="570"/>
    </row>
    <row r="16" spans="1:20" x14ac:dyDescent="0.25">
      <c r="A16" s="567"/>
      <c r="B16" s="84" t="s">
        <v>20</v>
      </c>
      <c r="C16" s="84" t="s">
        <v>11</v>
      </c>
      <c r="D16" s="80">
        <v>4</v>
      </c>
      <c r="E16" s="80">
        <v>1</v>
      </c>
      <c r="F16" s="85">
        <f t="shared" si="0"/>
        <v>4</v>
      </c>
      <c r="G16" s="217">
        <v>36.25</v>
      </c>
      <c r="H16" s="217">
        <v>75.53</v>
      </c>
      <c r="I16" s="217">
        <v>28.44</v>
      </c>
      <c r="J16" s="217">
        <v>92.25</v>
      </c>
      <c r="K16" s="231">
        <f>'[3]Uniformes Total'!E21</f>
        <v>48</v>
      </c>
      <c r="L16" s="217">
        <f>AVERAGE(H16,J16,K16)</f>
        <v>71.926666666666662</v>
      </c>
      <c r="M16" s="217">
        <f t="shared" si="1"/>
        <v>287.70666666666665</v>
      </c>
      <c r="N16" s="573"/>
      <c r="O16" s="570"/>
    </row>
    <row r="17" spans="1:15" x14ac:dyDescent="0.25">
      <c r="A17" s="567"/>
      <c r="B17" s="84" t="s">
        <v>43</v>
      </c>
      <c r="C17" s="84" t="s">
        <v>11</v>
      </c>
      <c r="D17" s="80">
        <v>4</v>
      </c>
      <c r="E17" s="80">
        <v>1</v>
      </c>
      <c r="F17" s="85">
        <f t="shared" si="0"/>
        <v>4</v>
      </c>
      <c r="G17" s="217">
        <v>36.25</v>
      </c>
      <c r="H17" s="217">
        <v>75.63</v>
      </c>
      <c r="I17" s="217">
        <v>28.44</v>
      </c>
      <c r="J17" s="217">
        <v>92.25</v>
      </c>
      <c r="K17" s="231">
        <f>'[3]Uniformes Total'!E22</f>
        <v>48</v>
      </c>
      <c r="L17" s="217">
        <f>AVERAGE(H17,J17,K17)</f>
        <v>71.959999999999994</v>
      </c>
      <c r="M17" s="217">
        <f t="shared" si="1"/>
        <v>287.83999999999997</v>
      </c>
      <c r="N17" s="573"/>
      <c r="O17" s="570"/>
    </row>
    <row r="18" spans="1:15" x14ac:dyDescent="0.25">
      <c r="A18" s="567"/>
      <c r="B18" s="84" t="s">
        <v>44</v>
      </c>
      <c r="C18" s="84" t="s">
        <v>11</v>
      </c>
      <c r="D18" s="80">
        <v>2</v>
      </c>
      <c r="E18" s="80">
        <v>1</v>
      </c>
      <c r="F18" s="85">
        <f t="shared" si="0"/>
        <v>2</v>
      </c>
      <c r="G18" s="217"/>
      <c r="H18" s="217"/>
      <c r="I18" s="217"/>
      <c r="J18" s="217">
        <v>48.9</v>
      </c>
      <c r="K18" s="231">
        <f>'[3]Uniformes Total'!E28</f>
        <v>30</v>
      </c>
      <c r="L18" s="217">
        <f t="shared" si="2"/>
        <v>39.450000000000003</v>
      </c>
      <c r="M18" s="217">
        <f t="shared" si="1"/>
        <v>78.900000000000006</v>
      </c>
      <c r="N18" s="573"/>
      <c r="O18" s="570"/>
    </row>
    <row r="19" spans="1:15" x14ac:dyDescent="0.25">
      <c r="A19" s="567"/>
      <c r="B19" s="84" t="s">
        <v>45</v>
      </c>
      <c r="C19" s="84" t="s">
        <v>11</v>
      </c>
      <c r="D19" s="80">
        <v>2</v>
      </c>
      <c r="E19" s="80">
        <v>1</v>
      </c>
      <c r="F19" s="85">
        <f t="shared" si="0"/>
        <v>2</v>
      </c>
      <c r="G19" s="217"/>
      <c r="H19" s="217"/>
      <c r="I19" s="217"/>
      <c r="J19" s="217">
        <v>48.9</v>
      </c>
      <c r="K19" s="194">
        <f>K18</f>
        <v>30</v>
      </c>
      <c r="L19" s="217">
        <f t="shared" si="2"/>
        <v>39.450000000000003</v>
      </c>
      <c r="M19" s="217">
        <f t="shared" si="1"/>
        <v>78.900000000000006</v>
      </c>
      <c r="N19" s="573"/>
      <c r="O19" s="570"/>
    </row>
    <row r="20" spans="1:15" x14ac:dyDescent="0.25">
      <c r="A20" s="567"/>
      <c r="B20" s="84" t="s">
        <v>46</v>
      </c>
      <c r="C20" s="84" t="s">
        <v>11</v>
      </c>
      <c r="D20" s="80">
        <v>2</v>
      </c>
      <c r="E20" s="80">
        <v>1</v>
      </c>
      <c r="F20" s="85">
        <f t="shared" si="0"/>
        <v>2</v>
      </c>
      <c r="G20" s="217"/>
      <c r="H20" s="217"/>
      <c r="I20" s="217"/>
      <c r="J20" s="217">
        <v>29.75</v>
      </c>
      <c r="K20" s="194">
        <f>'[3]Uniformes Total'!E30</f>
        <v>10</v>
      </c>
      <c r="L20" s="217">
        <f t="shared" si="2"/>
        <v>19.875</v>
      </c>
      <c r="M20" s="217">
        <f t="shared" si="1"/>
        <v>39.75</v>
      </c>
      <c r="N20" s="573"/>
      <c r="O20" s="570"/>
    </row>
    <row r="21" spans="1:15" x14ac:dyDescent="0.25">
      <c r="A21" s="567"/>
      <c r="B21" s="84" t="s">
        <v>47</v>
      </c>
      <c r="C21" s="84" t="s">
        <v>11</v>
      </c>
      <c r="D21" s="80">
        <v>2</v>
      </c>
      <c r="E21" s="80">
        <v>1</v>
      </c>
      <c r="F21" s="85">
        <f t="shared" si="0"/>
        <v>2</v>
      </c>
      <c r="G21" s="217"/>
      <c r="H21" s="217"/>
      <c r="I21" s="217"/>
      <c r="J21" s="217">
        <v>32.25</v>
      </c>
      <c r="K21" s="194">
        <f>'[3]Uniformes Total'!E31</f>
        <v>10</v>
      </c>
      <c r="L21" s="217">
        <f t="shared" si="2"/>
        <v>21.125</v>
      </c>
      <c r="M21" s="217">
        <f t="shared" si="1"/>
        <v>42.25</v>
      </c>
      <c r="N21" s="573"/>
      <c r="O21" s="570"/>
    </row>
    <row r="22" spans="1:15" x14ac:dyDescent="0.25">
      <c r="A22" s="567"/>
      <c r="B22" s="84" t="s">
        <v>31</v>
      </c>
      <c r="C22" s="84" t="s">
        <v>16</v>
      </c>
      <c r="D22" s="80">
        <v>8</v>
      </c>
      <c r="E22" s="80">
        <v>1</v>
      </c>
      <c r="F22" s="85">
        <f t="shared" si="0"/>
        <v>8</v>
      </c>
      <c r="G22" s="217"/>
      <c r="H22" s="217">
        <v>26.3</v>
      </c>
      <c r="I22" s="217">
        <v>8</v>
      </c>
      <c r="J22" s="217">
        <v>25</v>
      </c>
      <c r="K22" s="194">
        <f>'[3]Uniformes Total'!E34</f>
        <v>5</v>
      </c>
      <c r="L22" s="217">
        <f>AVERAGE(I22,K22)</f>
        <v>6.5</v>
      </c>
      <c r="M22" s="217">
        <f t="shared" si="1"/>
        <v>52</v>
      </c>
      <c r="N22" s="573"/>
      <c r="O22" s="570"/>
    </row>
    <row r="23" spans="1:15" ht="25.5" x14ac:dyDescent="0.25">
      <c r="A23" s="567"/>
      <c r="B23" s="84" t="s">
        <v>580</v>
      </c>
      <c r="C23" s="84" t="s">
        <v>16</v>
      </c>
      <c r="D23" s="80">
        <v>4</v>
      </c>
      <c r="E23" s="80">
        <v>1</v>
      </c>
      <c r="F23" s="85">
        <f t="shared" si="0"/>
        <v>4</v>
      </c>
      <c r="G23" s="217">
        <v>72</v>
      </c>
      <c r="H23" s="217">
        <v>95.9</v>
      </c>
      <c r="I23" s="217"/>
      <c r="J23" s="217">
        <v>75</v>
      </c>
      <c r="K23" s="194">
        <f>'[3]Uniformes Total'!E35</f>
        <v>60</v>
      </c>
      <c r="L23" s="217">
        <f>AVERAGE(,J23,K23)</f>
        <v>45</v>
      </c>
      <c r="M23" s="217">
        <f t="shared" si="1"/>
        <v>180</v>
      </c>
      <c r="N23" s="573"/>
      <c r="O23" s="570"/>
    </row>
    <row r="24" spans="1:15" ht="26.25" thickBot="1" x14ac:dyDescent="0.3">
      <c r="A24" s="568"/>
      <c r="B24" s="189" t="s">
        <v>581</v>
      </c>
      <c r="C24" s="226" t="s">
        <v>16</v>
      </c>
      <c r="D24" s="227">
        <v>4</v>
      </c>
      <c r="E24" s="227">
        <v>1</v>
      </c>
      <c r="F24" s="228">
        <f t="shared" si="0"/>
        <v>4</v>
      </c>
      <c r="G24" s="229">
        <v>72</v>
      </c>
      <c r="H24" s="229">
        <v>95.9</v>
      </c>
      <c r="I24" s="229"/>
      <c r="J24" s="229">
        <v>84.75</v>
      </c>
      <c r="K24" s="254">
        <f>'[3]Uniformes Total'!E36</f>
        <v>60</v>
      </c>
      <c r="L24" s="229">
        <f t="shared" si="2"/>
        <v>72.375</v>
      </c>
      <c r="M24" s="229">
        <f t="shared" si="1"/>
        <v>289.5</v>
      </c>
      <c r="N24" s="574"/>
      <c r="O24" s="571"/>
    </row>
    <row r="25" spans="1:15" ht="102.75" thickBot="1" x14ac:dyDescent="0.3">
      <c r="A25" s="566" t="s">
        <v>569</v>
      </c>
      <c r="B25" s="259" t="s">
        <v>523</v>
      </c>
      <c r="C25" s="186" t="s">
        <v>16</v>
      </c>
      <c r="D25" s="187">
        <v>2</v>
      </c>
      <c r="E25" s="187">
        <v>4</v>
      </c>
      <c r="F25" s="188">
        <f>D25*E25</f>
        <v>8</v>
      </c>
      <c r="G25" s="216"/>
      <c r="H25" s="216"/>
      <c r="I25" s="216">
        <v>64.05</v>
      </c>
      <c r="J25" s="216">
        <v>134.75</v>
      </c>
      <c r="K25" s="216">
        <f>'[3]Uniformes Total'!E16</f>
        <v>48</v>
      </c>
      <c r="L25" s="216">
        <f>AVERAGE(K25,J25)</f>
        <v>91.375</v>
      </c>
      <c r="M25" s="216">
        <f t="shared" si="1"/>
        <v>731</v>
      </c>
      <c r="N25" s="575">
        <f>SUM(M25:M31)</f>
        <v>4519</v>
      </c>
      <c r="O25" s="569">
        <f>N25/12/4</f>
        <v>94.145833333333329</v>
      </c>
    </row>
    <row r="26" spans="1:15" ht="26.25" thickBot="1" x14ac:dyDescent="0.3">
      <c r="A26" s="567"/>
      <c r="B26" s="178" t="s">
        <v>524</v>
      </c>
      <c r="C26" s="84" t="s">
        <v>11</v>
      </c>
      <c r="D26" s="80">
        <v>4</v>
      </c>
      <c r="E26" s="80">
        <v>4</v>
      </c>
      <c r="F26" s="85">
        <f t="shared" ref="F26:F31" si="3">D26*E26</f>
        <v>16</v>
      </c>
      <c r="G26" s="217"/>
      <c r="H26" s="217"/>
      <c r="I26" s="217"/>
      <c r="J26" s="217">
        <v>74.75</v>
      </c>
      <c r="K26" s="231">
        <f>K15</f>
        <v>60</v>
      </c>
      <c r="L26" s="231">
        <f>AVERAGE(J26,K26)</f>
        <v>67.375</v>
      </c>
      <c r="M26" s="217">
        <f t="shared" si="1"/>
        <v>1078</v>
      </c>
      <c r="N26" s="576"/>
      <c r="O26" s="570"/>
    </row>
    <row r="27" spans="1:15" ht="51.75" thickBot="1" x14ac:dyDescent="0.3">
      <c r="A27" s="567"/>
      <c r="B27" s="178" t="s">
        <v>533</v>
      </c>
      <c r="C27" s="84" t="s">
        <v>11</v>
      </c>
      <c r="D27" s="80">
        <v>4</v>
      </c>
      <c r="E27" s="80">
        <v>4</v>
      </c>
      <c r="F27" s="85">
        <f t="shared" si="3"/>
        <v>16</v>
      </c>
      <c r="G27" s="217"/>
      <c r="H27" s="217"/>
      <c r="I27" s="217"/>
      <c r="J27" s="217">
        <v>75</v>
      </c>
      <c r="K27" s="231">
        <f>'[3]Uniformes Total'!E23</f>
        <v>29</v>
      </c>
      <c r="L27" s="231">
        <f t="shared" ref="L27:L28" si="4">AVERAGE(J27,K27)</f>
        <v>52</v>
      </c>
      <c r="M27" s="217">
        <f t="shared" si="1"/>
        <v>832</v>
      </c>
      <c r="N27" s="576"/>
      <c r="O27" s="570"/>
    </row>
    <row r="28" spans="1:15" ht="15.75" thickBot="1" x14ac:dyDescent="0.3">
      <c r="A28" s="567"/>
      <c r="B28" s="178" t="s">
        <v>49</v>
      </c>
      <c r="C28" s="84" t="s">
        <v>11</v>
      </c>
      <c r="D28" s="80">
        <v>2</v>
      </c>
      <c r="E28" s="80">
        <v>4</v>
      </c>
      <c r="F28" s="85">
        <f>D28*E28</f>
        <v>8</v>
      </c>
      <c r="G28" s="217"/>
      <c r="H28" s="217"/>
      <c r="I28" s="217">
        <v>37.090000000000003</v>
      </c>
      <c r="J28" s="217">
        <v>87.5</v>
      </c>
      <c r="K28" s="231">
        <f>'[3]Uniformes Total'!E24</f>
        <v>35</v>
      </c>
      <c r="L28" s="231">
        <f t="shared" si="4"/>
        <v>61.25</v>
      </c>
      <c r="M28" s="217">
        <f t="shared" si="1"/>
        <v>490</v>
      </c>
      <c r="N28" s="576"/>
      <c r="O28" s="570"/>
    </row>
    <row r="29" spans="1:15" ht="15.75" thickBot="1" x14ac:dyDescent="0.3">
      <c r="A29" s="567"/>
      <c r="B29" s="178" t="s">
        <v>50</v>
      </c>
      <c r="C29" s="84" t="s">
        <v>11</v>
      </c>
      <c r="D29" s="80">
        <v>1</v>
      </c>
      <c r="E29" s="80">
        <v>4</v>
      </c>
      <c r="F29" s="85">
        <f t="shared" si="3"/>
        <v>4</v>
      </c>
      <c r="G29" s="217"/>
      <c r="H29" s="217"/>
      <c r="I29" s="217"/>
      <c r="J29" s="217">
        <v>155</v>
      </c>
      <c r="K29" s="231">
        <f>'[3]Uniformes Total'!E27</f>
        <v>60</v>
      </c>
      <c r="L29" s="231">
        <f>AVERAGE(K29)</f>
        <v>60</v>
      </c>
      <c r="M29" s="217">
        <f t="shared" si="1"/>
        <v>240</v>
      </c>
      <c r="N29" s="576"/>
      <c r="O29" s="570"/>
    </row>
    <row r="30" spans="1:15" ht="39" thickBot="1" x14ac:dyDescent="0.3">
      <c r="A30" s="567"/>
      <c r="B30" s="178" t="s">
        <v>525</v>
      </c>
      <c r="C30" s="84" t="s">
        <v>11</v>
      </c>
      <c r="D30" s="80">
        <v>2</v>
      </c>
      <c r="E30" s="80">
        <v>4</v>
      </c>
      <c r="F30" s="85">
        <f t="shared" si="3"/>
        <v>8</v>
      </c>
      <c r="G30" s="217"/>
      <c r="H30" s="217"/>
      <c r="I30" s="217"/>
      <c r="J30" s="217">
        <v>117.5</v>
      </c>
      <c r="K30" s="231"/>
      <c r="L30" s="231">
        <f>AVERAGE(J30)</f>
        <v>117.5</v>
      </c>
      <c r="M30" s="217">
        <f t="shared" si="1"/>
        <v>940</v>
      </c>
      <c r="N30" s="576"/>
      <c r="O30" s="570"/>
    </row>
    <row r="31" spans="1:15" ht="15.75" thickBot="1" x14ac:dyDescent="0.3">
      <c r="A31" s="568"/>
      <c r="B31" s="192" t="s">
        <v>31</v>
      </c>
      <c r="C31" s="189" t="s">
        <v>16</v>
      </c>
      <c r="D31" s="190">
        <v>8</v>
      </c>
      <c r="E31" s="190">
        <v>4</v>
      </c>
      <c r="F31" s="191">
        <f t="shared" si="3"/>
        <v>32</v>
      </c>
      <c r="G31" s="218"/>
      <c r="H31" s="218">
        <v>26.3</v>
      </c>
      <c r="I31" s="218">
        <v>8</v>
      </c>
      <c r="J31" s="218">
        <v>25</v>
      </c>
      <c r="K31" s="218">
        <f>'[3]Uniformes Total'!E34</f>
        <v>5</v>
      </c>
      <c r="L31" s="252">
        <f>AVERAGE(K31,I31)</f>
        <v>6.5</v>
      </c>
      <c r="M31" s="229">
        <f t="shared" si="1"/>
        <v>208</v>
      </c>
      <c r="N31" s="577"/>
      <c r="O31" s="571"/>
    </row>
    <row r="32" spans="1:15" ht="45.75" thickBot="1" x14ac:dyDescent="0.3">
      <c r="A32" s="559" t="s">
        <v>571</v>
      </c>
      <c r="B32" s="224" t="s">
        <v>534</v>
      </c>
      <c r="C32" s="183" t="s">
        <v>11</v>
      </c>
      <c r="D32" s="184">
        <v>1</v>
      </c>
      <c r="E32" s="184">
        <v>2</v>
      </c>
      <c r="F32" s="185">
        <f>E32*D32</f>
        <v>2</v>
      </c>
      <c r="G32" s="219"/>
      <c r="H32" s="219"/>
      <c r="I32" s="219"/>
      <c r="J32" s="219">
        <v>32.5</v>
      </c>
      <c r="K32" s="219">
        <f>'[3]Uniformes Total'!E14</f>
        <v>26</v>
      </c>
      <c r="L32" s="219">
        <f>AVERAGE(J32,K32)</f>
        <v>29.25</v>
      </c>
      <c r="M32" s="251">
        <f t="shared" si="1"/>
        <v>58.5</v>
      </c>
      <c r="N32" s="578">
        <f>SUM(M32:M40)</f>
        <v>2149.25</v>
      </c>
      <c r="O32" s="570">
        <f>N32/12/2</f>
        <v>89.552083333333329</v>
      </c>
    </row>
    <row r="33" spans="1:16" ht="15.75" thickBot="1" x14ac:dyDescent="0.3">
      <c r="A33" s="560"/>
      <c r="B33" s="224" t="s">
        <v>15</v>
      </c>
      <c r="C33" s="84" t="s">
        <v>16</v>
      </c>
      <c r="D33" s="80">
        <v>1</v>
      </c>
      <c r="E33" s="80">
        <v>2</v>
      </c>
      <c r="F33" s="85">
        <f t="shared" ref="F33:F58" si="5">E33*D33</f>
        <v>2</v>
      </c>
      <c r="G33" s="217">
        <v>72</v>
      </c>
      <c r="H33" s="217"/>
      <c r="I33" s="217"/>
      <c r="J33" s="217">
        <v>99.75</v>
      </c>
      <c r="K33" s="217">
        <f>'[3]Uniformes Total'!E15</f>
        <v>55</v>
      </c>
      <c r="L33" s="217">
        <f t="shared" ref="L33:L37" si="6">AVERAGE(J33,K33)</f>
        <v>77.375</v>
      </c>
      <c r="M33" s="217">
        <f t="shared" si="1"/>
        <v>154.75</v>
      </c>
      <c r="N33" s="576"/>
      <c r="O33" s="570"/>
    </row>
    <row r="34" spans="1:16" ht="60.75" thickBot="1" x14ac:dyDescent="0.3">
      <c r="A34" s="560"/>
      <c r="B34" s="224" t="s">
        <v>535</v>
      </c>
      <c r="C34" s="84" t="s">
        <v>16</v>
      </c>
      <c r="D34" s="80">
        <v>2</v>
      </c>
      <c r="E34" s="80">
        <v>2</v>
      </c>
      <c r="F34" s="85">
        <f t="shared" si="5"/>
        <v>4</v>
      </c>
      <c r="G34" s="217">
        <v>72</v>
      </c>
      <c r="H34" s="217"/>
      <c r="I34" s="217"/>
      <c r="J34" s="217">
        <v>134.75</v>
      </c>
      <c r="K34" s="217">
        <f>K25</f>
        <v>48</v>
      </c>
      <c r="L34" s="217">
        <f>AVERAGE(K34)</f>
        <v>48</v>
      </c>
      <c r="M34" s="217">
        <f t="shared" si="1"/>
        <v>192</v>
      </c>
      <c r="N34" s="576"/>
      <c r="O34" s="570"/>
    </row>
    <row r="35" spans="1:16" ht="26.25" thickBot="1" x14ac:dyDescent="0.3">
      <c r="A35" s="560"/>
      <c r="B35" s="224" t="s">
        <v>524</v>
      </c>
      <c r="C35" s="84" t="s">
        <v>11</v>
      </c>
      <c r="D35" s="80">
        <v>4</v>
      </c>
      <c r="E35" s="80">
        <v>2</v>
      </c>
      <c r="F35" s="85">
        <f t="shared" si="5"/>
        <v>8</v>
      </c>
      <c r="G35" s="217"/>
      <c r="H35" s="217"/>
      <c r="I35" s="217"/>
      <c r="J35" s="217">
        <v>74.75</v>
      </c>
      <c r="K35" s="217">
        <f>K26</f>
        <v>60</v>
      </c>
      <c r="L35" s="217">
        <f t="shared" si="6"/>
        <v>67.375</v>
      </c>
      <c r="M35" s="217">
        <f t="shared" si="1"/>
        <v>539</v>
      </c>
      <c r="N35" s="576"/>
      <c r="O35" s="570"/>
    </row>
    <row r="36" spans="1:16" ht="60" customHeight="1" thickBot="1" x14ac:dyDescent="0.3">
      <c r="A36" s="560"/>
      <c r="B36" s="224" t="s">
        <v>533</v>
      </c>
      <c r="C36" s="84" t="s">
        <v>11</v>
      </c>
      <c r="D36" s="80">
        <v>4</v>
      </c>
      <c r="E36" s="80">
        <v>2</v>
      </c>
      <c r="F36" s="85">
        <f t="shared" si="5"/>
        <v>8</v>
      </c>
      <c r="G36" s="217"/>
      <c r="H36" s="217"/>
      <c r="I36" s="217"/>
      <c r="J36" s="217">
        <v>75</v>
      </c>
      <c r="K36" s="217">
        <f>K27</f>
        <v>29</v>
      </c>
      <c r="L36" s="217">
        <f t="shared" si="6"/>
        <v>52</v>
      </c>
      <c r="M36" s="217">
        <f t="shared" si="1"/>
        <v>416</v>
      </c>
      <c r="N36" s="576"/>
      <c r="O36" s="570"/>
    </row>
    <row r="37" spans="1:16" ht="15.75" thickBot="1" x14ac:dyDescent="0.3">
      <c r="A37" s="560"/>
      <c r="B37" s="224" t="s">
        <v>49</v>
      </c>
      <c r="C37" s="84" t="s">
        <v>11</v>
      </c>
      <c r="D37" s="80">
        <v>2</v>
      </c>
      <c r="E37" s="80">
        <v>2</v>
      </c>
      <c r="F37" s="85">
        <f t="shared" si="5"/>
        <v>4</v>
      </c>
      <c r="G37" s="217"/>
      <c r="H37" s="217"/>
      <c r="I37" s="217">
        <v>37.090000000000003</v>
      </c>
      <c r="J37" s="217">
        <v>87.5</v>
      </c>
      <c r="K37" s="217">
        <f>K28</f>
        <v>35</v>
      </c>
      <c r="L37" s="217">
        <f t="shared" si="6"/>
        <v>61.25</v>
      </c>
      <c r="M37" s="217">
        <f t="shared" si="1"/>
        <v>245</v>
      </c>
      <c r="N37" s="576"/>
      <c r="O37" s="570"/>
    </row>
    <row r="38" spans="1:16" ht="15.75" thickBot="1" x14ac:dyDescent="0.3">
      <c r="A38" s="560"/>
      <c r="B38" s="224" t="s">
        <v>536</v>
      </c>
      <c r="C38" s="84" t="s">
        <v>11</v>
      </c>
      <c r="D38" s="80">
        <v>2</v>
      </c>
      <c r="E38" s="80">
        <v>2</v>
      </c>
      <c r="F38" s="85">
        <f t="shared" si="5"/>
        <v>4</v>
      </c>
      <c r="G38" s="217"/>
      <c r="H38" s="217"/>
      <c r="I38" s="217"/>
      <c r="J38" s="217">
        <v>223.9</v>
      </c>
      <c r="K38" s="217">
        <f>'[3]Uniformes Total'!E26</f>
        <v>80</v>
      </c>
      <c r="L38" s="217">
        <f>AVERAGE(K38)</f>
        <v>80</v>
      </c>
      <c r="M38" s="217">
        <f t="shared" si="1"/>
        <v>320</v>
      </c>
      <c r="N38" s="576"/>
      <c r="O38" s="570"/>
    </row>
    <row r="39" spans="1:16" ht="15.75" thickBot="1" x14ac:dyDescent="0.3">
      <c r="A39" s="560"/>
      <c r="B39" s="224" t="s">
        <v>50</v>
      </c>
      <c r="C39" s="84" t="s">
        <v>11</v>
      </c>
      <c r="D39" s="80">
        <v>1</v>
      </c>
      <c r="E39" s="80">
        <v>2</v>
      </c>
      <c r="F39" s="85">
        <f t="shared" si="5"/>
        <v>2</v>
      </c>
      <c r="G39" s="217"/>
      <c r="H39" s="217"/>
      <c r="I39" s="217"/>
      <c r="J39" s="217">
        <v>155</v>
      </c>
      <c r="K39" s="217">
        <f>K29</f>
        <v>60</v>
      </c>
      <c r="L39" s="217">
        <f>AVERAGE(K39)</f>
        <v>60</v>
      </c>
      <c r="M39" s="217">
        <f t="shared" si="1"/>
        <v>120</v>
      </c>
      <c r="N39" s="576"/>
      <c r="O39" s="570"/>
    </row>
    <row r="40" spans="1:16" ht="15.75" thickBot="1" x14ac:dyDescent="0.3">
      <c r="A40" s="561"/>
      <c r="B40" s="225" t="s">
        <v>31</v>
      </c>
      <c r="C40" s="189" t="s">
        <v>16</v>
      </c>
      <c r="D40" s="190">
        <v>8</v>
      </c>
      <c r="E40" s="190">
        <v>2</v>
      </c>
      <c r="F40" s="191">
        <f t="shared" si="5"/>
        <v>16</v>
      </c>
      <c r="G40" s="255"/>
      <c r="H40" s="217">
        <v>26.3</v>
      </c>
      <c r="I40" s="218">
        <v>8</v>
      </c>
      <c r="J40" s="218">
        <v>25</v>
      </c>
      <c r="K40" s="218">
        <f>K31</f>
        <v>5</v>
      </c>
      <c r="L40" s="229">
        <f>AVERAGE(I40,K40)</f>
        <v>6.5</v>
      </c>
      <c r="M40" s="229">
        <f t="shared" si="1"/>
        <v>104</v>
      </c>
      <c r="N40" s="577"/>
      <c r="O40" s="571"/>
    </row>
    <row r="41" spans="1:16" ht="15.75" thickBot="1" x14ac:dyDescent="0.3">
      <c r="A41" s="559" t="s">
        <v>568</v>
      </c>
      <c r="B41" s="223" t="s">
        <v>10</v>
      </c>
      <c r="C41" s="186" t="s">
        <v>11</v>
      </c>
      <c r="D41" s="187">
        <v>2</v>
      </c>
      <c r="E41" s="187">
        <v>1</v>
      </c>
      <c r="F41" s="188">
        <f t="shared" si="5"/>
        <v>2</v>
      </c>
      <c r="G41" s="216">
        <v>18.2</v>
      </c>
      <c r="H41" s="216"/>
      <c r="I41" s="216"/>
      <c r="J41" s="216">
        <v>44.75</v>
      </c>
      <c r="K41" s="256">
        <f>'[3]Uniformes Total'!E11</f>
        <v>12</v>
      </c>
      <c r="L41" s="216">
        <f>AVERAGE(J41,K41)</f>
        <v>28.375</v>
      </c>
      <c r="M41" s="251">
        <f t="shared" si="1"/>
        <v>56.75</v>
      </c>
      <c r="N41" s="575">
        <f>SUM(M41:M50)</f>
        <v>1309.375</v>
      </c>
      <c r="O41" s="569">
        <f>N41/12/1</f>
        <v>109.11458333333333</v>
      </c>
    </row>
    <row r="42" spans="1:16" ht="45.75" thickBot="1" x14ac:dyDescent="0.3">
      <c r="A42" s="560"/>
      <c r="B42" s="224" t="s">
        <v>534</v>
      </c>
      <c r="C42" s="84" t="s">
        <v>11</v>
      </c>
      <c r="D42" s="80">
        <v>1</v>
      </c>
      <c r="E42" s="80">
        <v>1</v>
      </c>
      <c r="F42" s="85">
        <f t="shared" si="5"/>
        <v>1</v>
      </c>
      <c r="G42" s="217"/>
      <c r="H42" s="217"/>
      <c r="I42" s="217"/>
      <c r="J42" s="217">
        <v>32.5</v>
      </c>
      <c r="K42" s="257">
        <f t="shared" ref="K42:K47" si="7">K32</f>
        <v>26</v>
      </c>
      <c r="L42" s="219">
        <f t="shared" ref="L42:L49" si="8">AVERAGE(J42,K42)</f>
        <v>29.25</v>
      </c>
      <c r="M42" s="217">
        <f t="shared" si="1"/>
        <v>29.25</v>
      </c>
      <c r="N42" s="576"/>
      <c r="O42" s="570"/>
    </row>
    <row r="43" spans="1:16" ht="15.75" thickBot="1" x14ac:dyDescent="0.3">
      <c r="A43" s="560"/>
      <c r="B43" s="224" t="s">
        <v>15</v>
      </c>
      <c r="C43" s="84" t="s">
        <v>16</v>
      </c>
      <c r="D43" s="80">
        <v>1</v>
      </c>
      <c r="E43" s="80">
        <v>1</v>
      </c>
      <c r="F43" s="85">
        <f t="shared" si="5"/>
        <v>1</v>
      </c>
      <c r="G43" s="217">
        <v>72</v>
      </c>
      <c r="H43" s="217"/>
      <c r="I43" s="217"/>
      <c r="J43" s="217">
        <v>99.75</v>
      </c>
      <c r="K43" s="257">
        <f t="shared" si="7"/>
        <v>55</v>
      </c>
      <c r="L43" s="219">
        <f t="shared" si="8"/>
        <v>77.375</v>
      </c>
      <c r="M43" s="217">
        <f t="shared" si="1"/>
        <v>77.375</v>
      </c>
      <c r="N43" s="576"/>
      <c r="O43" s="570"/>
    </row>
    <row r="44" spans="1:16" ht="60.75" thickBot="1" x14ac:dyDescent="0.3">
      <c r="A44" s="560"/>
      <c r="B44" s="224" t="s">
        <v>535</v>
      </c>
      <c r="C44" s="84" t="s">
        <v>16</v>
      </c>
      <c r="D44" s="80">
        <v>2</v>
      </c>
      <c r="E44" s="80">
        <v>1</v>
      </c>
      <c r="F44" s="85">
        <f t="shared" si="5"/>
        <v>2</v>
      </c>
      <c r="G44" s="217">
        <v>72</v>
      </c>
      <c r="H44" s="217"/>
      <c r="I44" s="217"/>
      <c r="J44" s="217">
        <v>134.75</v>
      </c>
      <c r="K44" s="257">
        <f t="shared" si="7"/>
        <v>48</v>
      </c>
      <c r="L44" s="219">
        <f t="shared" si="8"/>
        <v>91.375</v>
      </c>
      <c r="M44" s="217">
        <f t="shared" si="1"/>
        <v>182.75</v>
      </c>
      <c r="N44" s="576"/>
      <c r="O44" s="570"/>
    </row>
    <row r="45" spans="1:16" ht="30.75" thickBot="1" x14ac:dyDescent="0.3">
      <c r="A45" s="560"/>
      <c r="B45" s="224" t="s">
        <v>537</v>
      </c>
      <c r="C45" s="84" t="s">
        <v>11</v>
      </c>
      <c r="D45" s="80">
        <v>4</v>
      </c>
      <c r="E45" s="80">
        <v>1</v>
      </c>
      <c r="F45" s="85">
        <f t="shared" si="5"/>
        <v>4</v>
      </c>
      <c r="G45" s="217">
        <v>56.94</v>
      </c>
      <c r="H45" s="217"/>
      <c r="I45" s="217">
        <v>26</v>
      </c>
      <c r="J45" s="217">
        <v>112.5</v>
      </c>
      <c r="K45" s="257">
        <f t="shared" si="7"/>
        <v>60</v>
      </c>
      <c r="L45" s="219">
        <f t="shared" si="8"/>
        <v>86.25</v>
      </c>
      <c r="M45" s="217">
        <f t="shared" si="1"/>
        <v>345</v>
      </c>
      <c r="N45" s="576"/>
      <c r="O45" s="570"/>
    </row>
    <row r="46" spans="1:16" ht="60.75" thickBot="1" x14ac:dyDescent="0.3">
      <c r="A46" s="560"/>
      <c r="B46" s="224" t="s">
        <v>535</v>
      </c>
      <c r="C46" s="84" t="s">
        <v>11</v>
      </c>
      <c r="D46" s="80">
        <v>4</v>
      </c>
      <c r="E46" s="80">
        <v>1</v>
      </c>
      <c r="F46" s="85">
        <f t="shared" si="5"/>
        <v>4</v>
      </c>
      <c r="G46" s="217">
        <v>72</v>
      </c>
      <c r="H46" s="217"/>
      <c r="I46" s="217"/>
      <c r="J46" s="217">
        <v>134.75</v>
      </c>
      <c r="K46" s="257">
        <f t="shared" si="7"/>
        <v>29</v>
      </c>
      <c r="L46" s="219">
        <f t="shared" si="8"/>
        <v>81.875</v>
      </c>
      <c r="M46" s="217">
        <f t="shared" si="1"/>
        <v>327.5</v>
      </c>
      <c r="N46" s="576"/>
      <c r="O46" s="570"/>
    </row>
    <row r="47" spans="1:16" ht="15.75" thickBot="1" x14ac:dyDescent="0.3">
      <c r="A47" s="560"/>
      <c r="B47" s="224" t="s">
        <v>49</v>
      </c>
      <c r="C47" s="84" t="s">
        <v>11</v>
      </c>
      <c r="D47" s="80">
        <v>2</v>
      </c>
      <c r="E47" s="80">
        <v>1</v>
      </c>
      <c r="F47" s="85">
        <f t="shared" si="5"/>
        <v>2</v>
      </c>
      <c r="G47" s="217"/>
      <c r="H47" s="217"/>
      <c r="I47" s="217">
        <v>37.090000000000003</v>
      </c>
      <c r="J47" s="217">
        <v>87.5</v>
      </c>
      <c r="K47" s="257">
        <f t="shared" si="7"/>
        <v>35</v>
      </c>
      <c r="L47" s="219">
        <f t="shared" si="8"/>
        <v>61.25</v>
      </c>
      <c r="M47" s="217">
        <f t="shared" si="1"/>
        <v>122.5</v>
      </c>
      <c r="N47" s="576"/>
      <c r="O47" s="570"/>
    </row>
    <row r="48" spans="1:16" ht="15.75" thickBot="1" x14ac:dyDescent="0.3">
      <c r="A48" s="560"/>
      <c r="B48" s="224" t="s">
        <v>50</v>
      </c>
      <c r="C48" s="84" t="s">
        <v>11</v>
      </c>
      <c r="D48" s="80">
        <v>1</v>
      </c>
      <c r="E48" s="80">
        <v>1</v>
      </c>
      <c r="F48" s="85">
        <f t="shared" si="5"/>
        <v>1</v>
      </c>
      <c r="G48" s="217"/>
      <c r="H48" s="217"/>
      <c r="I48" s="217"/>
      <c r="J48" s="217">
        <v>155</v>
      </c>
      <c r="K48" s="257">
        <f>K39</f>
        <v>60</v>
      </c>
      <c r="L48" s="219">
        <f>AVERAGE(K48)</f>
        <v>60</v>
      </c>
      <c r="M48" s="217">
        <f t="shared" si="1"/>
        <v>60</v>
      </c>
      <c r="N48" s="576"/>
      <c r="O48" s="570"/>
      <c r="P48" s="87" t="s">
        <v>217</v>
      </c>
    </row>
    <row r="49" spans="1:15" ht="15.75" thickBot="1" x14ac:dyDescent="0.3">
      <c r="A49" s="560"/>
      <c r="B49" s="224" t="s">
        <v>24</v>
      </c>
      <c r="C49" s="84" t="s">
        <v>11</v>
      </c>
      <c r="D49" s="80">
        <v>2</v>
      </c>
      <c r="E49" s="80">
        <v>1</v>
      </c>
      <c r="F49" s="85">
        <f t="shared" si="5"/>
        <v>2</v>
      </c>
      <c r="G49" s="217">
        <v>24.29</v>
      </c>
      <c r="H49" s="217"/>
      <c r="I49" s="217"/>
      <c r="J49" s="217">
        <v>36.25</v>
      </c>
      <c r="K49" s="257">
        <f>'[3]Uniformes Total'!E25</f>
        <v>20</v>
      </c>
      <c r="L49" s="219">
        <f t="shared" si="8"/>
        <v>28.125</v>
      </c>
      <c r="M49" s="217">
        <f t="shared" si="1"/>
        <v>56.25</v>
      </c>
      <c r="N49" s="576"/>
      <c r="O49" s="570"/>
    </row>
    <row r="50" spans="1:15" ht="15.75" thickBot="1" x14ac:dyDescent="0.3">
      <c r="A50" s="562"/>
      <c r="B50" s="225" t="s">
        <v>31</v>
      </c>
      <c r="C50" s="189" t="s">
        <v>16</v>
      </c>
      <c r="D50" s="190">
        <v>8</v>
      </c>
      <c r="E50" s="190">
        <v>1</v>
      </c>
      <c r="F50" s="191">
        <f t="shared" si="5"/>
        <v>8</v>
      </c>
      <c r="G50" s="255"/>
      <c r="H50" s="217">
        <v>26.3</v>
      </c>
      <c r="I50" s="218">
        <v>8</v>
      </c>
      <c r="J50" s="218">
        <v>25</v>
      </c>
      <c r="K50" s="218">
        <v>5</v>
      </c>
      <c r="L50" s="229">
        <f>AVERAGE(I50,K50)</f>
        <v>6.5</v>
      </c>
      <c r="M50" s="229">
        <f t="shared" si="1"/>
        <v>52</v>
      </c>
      <c r="N50" s="577"/>
      <c r="O50" s="571"/>
    </row>
    <row r="51" spans="1:15" ht="38.25" customHeight="1" thickBot="1" x14ac:dyDescent="0.3">
      <c r="A51" s="580" t="s">
        <v>567</v>
      </c>
      <c r="B51" s="223" t="s">
        <v>538</v>
      </c>
      <c r="C51" s="186" t="s">
        <v>11</v>
      </c>
      <c r="D51" s="187">
        <v>2</v>
      </c>
      <c r="E51" s="187">
        <v>1</v>
      </c>
      <c r="F51" s="188">
        <f t="shared" si="5"/>
        <v>2</v>
      </c>
      <c r="G51" s="216">
        <v>18.2</v>
      </c>
      <c r="H51" s="216"/>
      <c r="I51" s="216"/>
      <c r="J51" s="216">
        <v>32.25</v>
      </c>
      <c r="K51" s="256">
        <f>K41</f>
        <v>12</v>
      </c>
      <c r="L51" s="250">
        <f>AVERAGE(J51,K51)</f>
        <v>22.125</v>
      </c>
      <c r="M51" s="250">
        <f t="shared" si="1"/>
        <v>44.25</v>
      </c>
      <c r="N51" s="575">
        <f>SUM(M51:M58)</f>
        <v>1119.375</v>
      </c>
      <c r="O51" s="569">
        <f>N51/12/1</f>
        <v>93.28125</v>
      </c>
    </row>
    <row r="52" spans="1:15" ht="15.75" thickBot="1" x14ac:dyDescent="0.3">
      <c r="A52" s="560"/>
      <c r="B52" s="224" t="s">
        <v>15</v>
      </c>
      <c r="C52" s="84" t="s">
        <v>16</v>
      </c>
      <c r="D52" s="80">
        <v>1</v>
      </c>
      <c r="E52" s="80">
        <v>1</v>
      </c>
      <c r="F52" s="85">
        <f t="shared" si="5"/>
        <v>1</v>
      </c>
      <c r="G52" s="217">
        <v>72</v>
      </c>
      <c r="H52" s="217"/>
      <c r="I52" s="217"/>
      <c r="J52" s="217">
        <v>99.75</v>
      </c>
      <c r="K52" s="257">
        <f>K43</f>
        <v>55</v>
      </c>
      <c r="L52" s="217">
        <f t="shared" ref="L52:L57" si="9">AVERAGE(J52,K52)</f>
        <v>77.375</v>
      </c>
      <c r="M52" s="217">
        <f t="shared" si="1"/>
        <v>77.375</v>
      </c>
      <c r="N52" s="576"/>
      <c r="O52" s="570"/>
    </row>
    <row r="53" spans="1:15" ht="60.75" thickBot="1" x14ac:dyDescent="0.3">
      <c r="A53" s="560"/>
      <c r="B53" s="224" t="s">
        <v>535</v>
      </c>
      <c r="C53" s="84" t="s">
        <v>16</v>
      </c>
      <c r="D53" s="80">
        <v>2</v>
      </c>
      <c r="E53" s="80">
        <v>1</v>
      </c>
      <c r="F53" s="85">
        <f t="shared" si="5"/>
        <v>2</v>
      </c>
      <c r="G53" s="217">
        <v>72</v>
      </c>
      <c r="H53" s="217"/>
      <c r="I53" s="217"/>
      <c r="J53" s="217">
        <v>134.75</v>
      </c>
      <c r="K53" s="257">
        <f>K44</f>
        <v>48</v>
      </c>
      <c r="L53" s="217">
        <f t="shared" si="9"/>
        <v>91.375</v>
      </c>
      <c r="M53" s="217">
        <f t="shared" si="1"/>
        <v>182.75</v>
      </c>
      <c r="N53" s="576"/>
      <c r="O53" s="570"/>
    </row>
    <row r="54" spans="1:15" ht="30.75" thickBot="1" x14ac:dyDescent="0.3">
      <c r="A54" s="560"/>
      <c r="B54" s="224" t="s">
        <v>537</v>
      </c>
      <c r="C54" s="84" t="s">
        <v>11</v>
      </c>
      <c r="D54" s="80">
        <v>4</v>
      </c>
      <c r="E54" s="80">
        <v>1</v>
      </c>
      <c r="F54" s="85">
        <f t="shared" si="5"/>
        <v>4</v>
      </c>
      <c r="G54" s="217">
        <v>56.94</v>
      </c>
      <c r="H54" s="217"/>
      <c r="I54" s="217">
        <v>26</v>
      </c>
      <c r="J54" s="217">
        <v>112.5</v>
      </c>
      <c r="K54" s="257">
        <f>K45</f>
        <v>60</v>
      </c>
      <c r="L54" s="217">
        <f t="shared" si="9"/>
        <v>86.25</v>
      </c>
      <c r="M54" s="217">
        <f t="shared" si="1"/>
        <v>345</v>
      </c>
      <c r="N54" s="576"/>
      <c r="O54" s="570"/>
    </row>
    <row r="55" spans="1:15" ht="57.75" customHeight="1" thickBot="1" x14ac:dyDescent="0.3">
      <c r="A55" s="560"/>
      <c r="B55" s="224" t="s">
        <v>533</v>
      </c>
      <c r="C55" s="84" t="s">
        <v>11</v>
      </c>
      <c r="D55" s="80">
        <v>4</v>
      </c>
      <c r="E55" s="80">
        <v>1</v>
      </c>
      <c r="F55" s="85">
        <f t="shared" si="5"/>
        <v>4</v>
      </c>
      <c r="G55" s="217"/>
      <c r="H55" s="217"/>
      <c r="I55" s="217"/>
      <c r="J55" s="217">
        <v>75</v>
      </c>
      <c r="K55" s="257">
        <f>K46</f>
        <v>29</v>
      </c>
      <c r="L55" s="217">
        <f t="shared" si="9"/>
        <v>52</v>
      </c>
      <c r="M55" s="217">
        <f t="shared" si="1"/>
        <v>208</v>
      </c>
      <c r="N55" s="576"/>
      <c r="O55" s="570"/>
    </row>
    <row r="56" spans="1:15" ht="15.75" thickBot="1" x14ac:dyDescent="0.3">
      <c r="A56" s="560"/>
      <c r="B56" s="224" t="s">
        <v>49</v>
      </c>
      <c r="C56" s="84" t="s">
        <v>11</v>
      </c>
      <c r="D56" s="80">
        <v>2</v>
      </c>
      <c r="E56" s="80">
        <v>1</v>
      </c>
      <c r="F56" s="85">
        <f t="shared" si="5"/>
        <v>2</v>
      </c>
      <c r="G56" s="217"/>
      <c r="H56" s="217"/>
      <c r="I56" s="217">
        <v>37.090000000000003</v>
      </c>
      <c r="J56" s="217">
        <v>87.5</v>
      </c>
      <c r="K56" s="257">
        <f>K47</f>
        <v>35</v>
      </c>
      <c r="L56" s="217">
        <f t="shared" si="9"/>
        <v>61.25</v>
      </c>
      <c r="M56" s="217">
        <f t="shared" si="1"/>
        <v>122.5</v>
      </c>
      <c r="N56" s="576"/>
      <c r="O56" s="570"/>
    </row>
    <row r="57" spans="1:15" ht="15.75" thickBot="1" x14ac:dyDescent="0.3">
      <c r="A57" s="560"/>
      <c r="B57" s="224" t="s">
        <v>50</v>
      </c>
      <c r="C57" s="84" t="s">
        <v>11</v>
      </c>
      <c r="D57" s="80">
        <v>1</v>
      </c>
      <c r="E57" s="80">
        <v>1</v>
      </c>
      <c r="F57" s="85">
        <f t="shared" si="5"/>
        <v>1</v>
      </c>
      <c r="G57" s="217"/>
      <c r="H57" s="217"/>
      <c r="I57" s="217"/>
      <c r="J57" s="217">
        <v>155</v>
      </c>
      <c r="K57" s="257">
        <f>K49</f>
        <v>20</v>
      </c>
      <c r="L57" s="217">
        <f t="shared" si="9"/>
        <v>87.5</v>
      </c>
      <c r="M57" s="217">
        <f t="shared" si="1"/>
        <v>87.5</v>
      </c>
      <c r="N57" s="576"/>
      <c r="O57" s="570"/>
    </row>
    <row r="58" spans="1:15" ht="15.75" thickBot="1" x14ac:dyDescent="0.3">
      <c r="A58" s="561"/>
      <c r="B58" s="225" t="s">
        <v>31</v>
      </c>
      <c r="C58" s="189" t="s">
        <v>11</v>
      </c>
      <c r="D58" s="190">
        <v>8</v>
      </c>
      <c r="E58" s="190">
        <v>1</v>
      </c>
      <c r="F58" s="191">
        <f t="shared" si="5"/>
        <v>8</v>
      </c>
      <c r="G58" s="255"/>
      <c r="H58" s="217">
        <v>26.3</v>
      </c>
      <c r="I58" s="218">
        <v>8</v>
      </c>
      <c r="J58" s="218">
        <v>25</v>
      </c>
      <c r="K58" s="218">
        <f>K50</f>
        <v>5</v>
      </c>
      <c r="L58" s="218">
        <f>AVERAGE(I58,K58)</f>
        <v>6.5</v>
      </c>
      <c r="M58" s="218">
        <f t="shared" si="1"/>
        <v>52</v>
      </c>
      <c r="N58" s="577"/>
      <c r="O58" s="571"/>
    </row>
    <row r="59" spans="1:15" ht="15.75" customHeight="1" thickBot="1" x14ac:dyDescent="0.3">
      <c r="A59" s="559" t="s">
        <v>572</v>
      </c>
      <c r="B59" s="223" t="s">
        <v>15</v>
      </c>
      <c r="C59" s="186" t="s">
        <v>16</v>
      </c>
      <c r="D59" s="187">
        <v>1</v>
      </c>
      <c r="E59" s="187">
        <v>22</v>
      </c>
      <c r="F59" s="188">
        <f>E59*D59</f>
        <v>22</v>
      </c>
      <c r="G59" s="216">
        <v>72</v>
      </c>
      <c r="H59" s="216"/>
      <c r="I59" s="216"/>
      <c r="J59" s="216">
        <v>99.75</v>
      </c>
      <c r="K59" s="216">
        <f>K52</f>
        <v>55</v>
      </c>
      <c r="L59" s="250">
        <f>AVERAGE(J59:K59)</f>
        <v>77.375</v>
      </c>
      <c r="M59" s="250">
        <f t="shared" si="1"/>
        <v>1702.25</v>
      </c>
      <c r="N59" s="575">
        <f>SUM(M59:M67)</f>
        <v>27611.56</v>
      </c>
      <c r="O59" s="569">
        <f>N59/12/22</f>
        <v>104.58924242424244</v>
      </c>
    </row>
    <row r="60" spans="1:15" ht="60.75" thickBot="1" x14ac:dyDescent="0.3">
      <c r="A60" s="560"/>
      <c r="B60" s="224" t="s">
        <v>535</v>
      </c>
      <c r="C60" s="84" t="s">
        <v>16</v>
      </c>
      <c r="D60" s="80">
        <v>3</v>
      </c>
      <c r="E60" s="184">
        <v>22</v>
      </c>
      <c r="F60" s="85">
        <f t="shared" ref="F60:F67" si="10">E60*D60</f>
        <v>66</v>
      </c>
      <c r="G60" s="217">
        <v>72</v>
      </c>
      <c r="H60" s="217"/>
      <c r="I60" s="217"/>
      <c r="J60" s="217">
        <v>134.75</v>
      </c>
      <c r="K60" s="258">
        <f>K53</f>
        <v>48</v>
      </c>
      <c r="L60" s="217">
        <f t="shared" ref="L60:L66" si="11">AVERAGE(J60:K60)</f>
        <v>91.375</v>
      </c>
      <c r="M60" s="217">
        <f t="shared" si="1"/>
        <v>6030.75</v>
      </c>
      <c r="N60" s="579"/>
      <c r="O60" s="570"/>
    </row>
    <row r="61" spans="1:15" ht="26.25" thickBot="1" x14ac:dyDescent="0.3">
      <c r="A61" s="560"/>
      <c r="B61" s="224" t="s">
        <v>539</v>
      </c>
      <c r="C61" s="84" t="s">
        <v>16</v>
      </c>
      <c r="D61" s="80">
        <v>1</v>
      </c>
      <c r="E61" s="80">
        <v>4</v>
      </c>
      <c r="F61" s="85">
        <f t="shared" si="10"/>
        <v>4</v>
      </c>
      <c r="G61" s="217"/>
      <c r="H61" s="217">
        <v>49.23</v>
      </c>
      <c r="I61" s="217"/>
      <c r="J61" s="217">
        <v>112.5</v>
      </c>
      <c r="K61" s="258">
        <f>'[3]Uniformes Total'!E17</f>
        <v>120</v>
      </c>
      <c r="L61" s="217">
        <f t="shared" si="11"/>
        <v>116.25</v>
      </c>
      <c r="M61" s="217">
        <f t="shared" si="1"/>
        <v>465</v>
      </c>
      <c r="N61" s="579"/>
      <c r="O61" s="570"/>
    </row>
    <row r="62" spans="1:15" ht="56.25" customHeight="1" thickBot="1" x14ac:dyDescent="0.3">
      <c r="A62" s="560"/>
      <c r="B62" s="224" t="s">
        <v>540</v>
      </c>
      <c r="C62" s="84" t="s">
        <v>11</v>
      </c>
      <c r="D62" s="80">
        <v>4</v>
      </c>
      <c r="E62" s="80">
        <v>22</v>
      </c>
      <c r="F62" s="85">
        <f t="shared" si="10"/>
        <v>88</v>
      </c>
      <c r="G62" s="217">
        <v>56.94</v>
      </c>
      <c r="H62" s="217"/>
      <c r="I62" s="217">
        <v>26</v>
      </c>
      <c r="J62" s="217">
        <v>112.5</v>
      </c>
      <c r="K62" s="258">
        <f>K54</f>
        <v>60</v>
      </c>
      <c r="L62" s="217">
        <f t="shared" si="11"/>
        <v>86.25</v>
      </c>
      <c r="M62" s="217">
        <f t="shared" si="1"/>
        <v>7590</v>
      </c>
      <c r="N62" s="579"/>
      <c r="O62" s="570"/>
    </row>
    <row r="63" spans="1:15" ht="65.25" customHeight="1" thickBot="1" x14ac:dyDescent="0.3">
      <c r="A63" s="560"/>
      <c r="B63" s="224" t="s">
        <v>541</v>
      </c>
      <c r="C63" s="84" t="s">
        <v>11</v>
      </c>
      <c r="D63" s="80">
        <v>4</v>
      </c>
      <c r="E63" s="80">
        <v>22</v>
      </c>
      <c r="F63" s="85">
        <f t="shared" si="10"/>
        <v>88</v>
      </c>
      <c r="G63" s="217"/>
      <c r="H63" s="217"/>
      <c r="I63" s="217"/>
      <c r="J63" s="217">
        <v>75</v>
      </c>
      <c r="K63" s="258">
        <f>K55</f>
        <v>29</v>
      </c>
      <c r="L63" s="217">
        <f t="shared" si="11"/>
        <v>52</v>
      </c>
      <c r="M63" s="217">
        <f t="shared" si="1"/>
        <v>4576</v>
      </c>
      <c r="N63" s="579"/>
      <c r="O63" s="570"/>
    </row>
    <row r="64" spans="1:15" ht="15.75" thickBot="1" x14ac:dyDescent="0.3">
      <c r="A64" s="560"/>
      <c r="B64" s="224" t="s">
        <v>49</v>
      </c>
      <c r="C64" s="84" t="s">
        <v>11</v>
      </c>
      <c r="D64" s="80">
        <v>2</v>
      </c>
      <c r="E64" s="80">
        <v>22</v>
      </c>
      <c r="F64" s="85">
        <f t="shared" si="10"/>
        <v>44</v>
      </c>
      <c r="G64" s="217"/>
      <c r="H64" s="217"/>
      <c r="I64" s="217">
        <v>37.090000000000003</v>
      </c>
      <c r="J64" s="217">
        <v>87.5</v>
      </c>
      <c r="K64" s="258">
        <f>K56</f>
        <v>35</v>
      </c>
      <c r="L64" s="217">
        <f t="shared" si="11"/>
        <v>61.25</v>
      </c>
      <c r="M64" s="217">
        <f t="shared" si="1"/>
        <v>2695</v>
      </c>
      <c r="N64" s="579"/>
      <c r="O64" s="570"/>
    </row>
    <row r="65" spans="1:15" ht="15.75" thickBot="1" x14ac:dyDescent="0.3">
      <c r="A65" s="560"/>
      <c r="B65" s="224" t="s">
        <v>50</v>
      </c>
      <c r="C65" s="84" t="s">
        <v>11</v>
      </c>
      <c r="D65" s="80">
        <v>1</v>
      </c>
      <c r="E65" s="80">
        <v>22</v>
      </c>
      <c r="F65" s="85">
        <f t="shared" si="10"/>
        <v>22</v>
      </c>
      <c r="G65" s="217"/>
      <c r="H65" s="217"/>
      <c r="I65" s="217"/>
      <c r="J65" s="217">
        <v>155</v>
      </c>
      <c r="K65" s="258">
        <f>K57</f>
        <v>20</v>
      </c>
      <c r="L65" s="217">
        <f t="shared" si="11"/>
        <v>87.5</v>
      </c>
      <c r="M65" s="217">
        <f t="shared" si="1"/>
        <v>1925</v>
      </c>
      <c r="N65" s="579"/>
      <c r="O65" s="570"/>
    </row>
    <row r="66" spans="1:15" ht="96.75" customHeight="1" thickBot="1" x14ac:dyDescent="0.3">
      <c r="A66" s="560"/>
      <c r="B66" s="224" t="s">
        <v>542</v>
      </c>
      <c r="C66" s="84" t="s">
        <v>11</v>
      </c>
      <c r="D66" s="80">
        <v>1</v>
      </c>
      <c r="E66" s="80">
        <v>4</v>
      </c>
      <c r="F66" s="85">
        <f t="shared" si="10"/>
        <v>4</v>
      </c>
      <c r="G66" s="217"/>
      <c r="H66" s="217"/>
      <c r="I66" s="217"/>
      <c r="J66" s="217">
        <v>441.78</v>
      </c>
      <c r="K66" s="258">
        <f>'[3]Uniformes Total'!E32</f>
        <v>300</v>
      </c>
      <c r="L66" s="217">
        <f t="shared" si="11"/>
        <v>370.89</v>
      </c>
      <c r="M66" s="217">
        <f t="shared" si="1"/>
        <v>1483.56</v>
      </c>
      <c r="N66" s="579"/>
      <c r="O66" s="570"/>
    </row>
    <row r="67" spans="1:15" ht="15.75" thickBot="1" x14ac:dyDescent="0.3">
      <c r="A67" s="561"/>
      <c r="B67" s="225" t="s">
        <v>31</v>
      </c>
      <c r="C67" s="189" t="s">
        <v>16</v>
      </c>
      <c r="D67" s="190">
        <v>8</v>
      </c>
      <c r="E67" s="190">
        <v>22</v>
      </c>
      <c r="F67" s="191">
        <f t="shared" si="10"/>
        <v>176</v>
      </c>
      <c r="G67" s="218"/>
      <c r="H67" s="218">
        <v>26.3</v>
      </c>
      <c r="I67" s="218">
        <v>8</v>
      </c>
      <c r="J67" s="218">
        <v>25</v>
      </c>
      <c r="K67" s="218">
        <f>K58</f>
        <v>5</v>
      </c>
      <c r="L67" s="229">
        <f>AVERAGE(I67,K67)</f>
        <v>6.5</v>
      </c>
      <c r="M67" s="229">
        <f t="shared" si="1"/>
        <v>1144</v>
      </c>
      <c r="N67" s="577"/>
      <c r="O67" s="571"/>
    </row>
    <row r="68" spans="1:15" x14ac:dyDescent="0.25">
      <c r="O68" s="182"/>
    </row>
    <row r="71" spans="1:15" x14ac:dyDescent="0.25">
      <c r="F71" s="230"/>
      <c r="G71" s="230"/>
      <c r="H71" s="230"/>
      <c r="I71" s="230"/>
    </row>
    <row r="75" spans="1:15" x14ac:dyDescent="0.25">
      <c r="F75" s="230"/>
      <c r="G75" s="230"/>
      <c r="H75" s="230"/>
      <c r="I75" s="230"/>
    </row>
    <row r="76" spans="1:15" x14ac:dyDescent="0.25">
      <c r="F76" s="230"/>
      <c r="G76" s="230"/>
      <c r="H76" s="230"/>
      <c r="I76" s="230"/>
    </row>
  </sheetData>
  <mergeCells count="33">
    <mergeCell ref="A32:A40"/>
    <mergeCell ref="A25:A31"/>
    <mergeCell ref="A51:A58"/>
    <mergeCell ref="A6:F6"/>
    <mergeCell ref="A8:K8"/>
    <mergeCell ref="F9:F10"/>
    <mergeCell ref="A9:A10"/>
    <mergeCell ref="B9:B10"/>
    <mergeCell ref="C9:C10"/>
    <mergeCell ref="D9:D10"/>
    <mergeCell ref="E9:E10"/>
    <mergeCell ref="A7:O7"/>
    <mergeCell ref="A1:D1"/>
    <mergeCell ref="A2:D2"/>
    <mergeCell ref="A3:F3"/>
    <mergeCell ref="A4:E4"/>
    <mergeCell ref="A5:D5"/>
    <mergeCell ref="A59:A67"/>
    <mergeCell ref="A41:A50"/>
    <mergeCell ref="L9:O9"/>
    <mergeCell ref="A11:A24"/>
    <mergeCell ref="O41:O50"/>
    <mergeCell ref="O51:O58"/>
    <mergeCell ref="O59:O67"/>
    <mergeCell ref="N11:N24"/>
    <mergeCell ref="N25:N31"/>
    <mergeCell ref="N32:N40"/>
    <mergeCell ref="O25:O31"/>
    <mergeCell ref="O11:O24"/>
    <mergeCell ref="O32:O40"/>
    <mergeCell ref="N41:N50"/>
    <mergeCell ref="N51:N58"/>
    <mergeCell ref="N59:N67"/>
  </mergeCells>
  <pageMargins left="0.511811024" right="0.511811024" top="0.78740157499999996" bottom="0.78740157499999996" header="0.31496062000000002" footer="0.31496062000000002"/>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70"/>
  <sheetViews>
    <sheetView topLeftCell="A68" zoomScale="120" zoomScaleNormal="120" workbookViewId="0">
      <selection activeCell="I76" sqref="I76"/>
    </sheetView>
  </sheetViews>
  <sheetFormatPr defaultRowHeight="15" x14ac:dyDescent="0.25"/>
  <cols>
    <col min="1" max="1" width="5.140625" customWidth="1"/>
    <col min="2" max="2" width="49.28515625" customWidth="1"/>
    <col min="3" max="3" width="5.85546875" style="81" customWidth="1"/>
    <col min="4" max="4" width="7" style="81" customWidth="1"/>
    <col min="5" max="5" width="11.140625" style="81" bestFit="1" customWidth="1"/>
    <col min="6" max="6" width="12.5703125" style="81" bestFit="1" customWidth="1"/>
    <col min="7" max="7" width="9.85546875" style="81" customWidth="1"/>
    <col min="8" max="8" width="10.5703125" style="81" bestFit="1" customWidth="1"/>
    <col min="9" max="9" width="12.140625" customWidth="1"/>
    <col min="10" max="10" width="12.42578125" bestFit="1" customWidth="1"/>
    <col min="11" max="11" width="11.28515625" bestFit="1" customWidth="1"/>
    <col min="12" max="12" width="12.42578125" bestFit="1" customWidth="1"/>
    <col min="13" max="13" width="11.28515625" bestFit="1" customWidth="1"/>
    <col min="14" max="14" width="15.28515625" bestFit="1" customWidth="1"/>
  </cols>
  <sheetData>
    <row r="1" spans="1:14" ht="44.25" customHeight="1" x14ac:dyDescent="0.25">
      <c r="A1" s="590" t="s">
        <v>223</v>
      </c>
      <c r="B1" s="591"/>
      <c r="C1" s="591"/>
      <c r="D1" s="591"/>
      <c r="E1" s="591"/>
      <c r="F1" s="591"/>
      <c r="G1" s="591"/>
      <c r="H1" s="591"/>
    </row>
    <row r="2" spans="1:14" ht="15.75" x14ac:dyDescent="0.25">
      <c r="A2" s="89"/>
    </row>
    <row r="3" spans="1:14" x14ac:dyDescent="0.25">
      <c r="A3" s="90" t="s">
        <v>224</v>
      </c>
    </row>
    <row r="4" spans="1:14" ht="65.25" customHeight="1" x14ac:dyDescent="0.25">
      <c r="A4" s="602" t="s">
        <v>276</v>
      </c>
      <c r="B4" s="603"/>
      <c r="C4" s="603"/>
      <c r="D4" s="604"/>
      <c r="E4" s="600" t="s">
        <v>552</v>
      </c>
      <c r="F4" s="604"/>
      <c r="G4" s="600" t="s">
        <v>543</v>
      </c>
      <c r="H4" s="604"/>
      <c r="I4" s="600" t="s">
        <v>549</v>
      </c>
      <c r="J4" s="601"/>
      <c r="K4" s="589" t="s">
        <v>582</v>
      </c>
      <c r="L4" s="589"/>
      <c r="M4" s="589" t="s">
        <v>550</v>
      </c>
      <c r="N4" s="589"/>
    </row>
    <row r="5" spans="1:14" ht="33.75" customHeight="1" x14ac:dyDescent="0.25">
      <c r="A5" s="532" t="s">
        <v>5</v>
      </c>
      <c r="B5" s="532" t="s">
        <v>221</v>
      </c>
      <c r="C5" s="532" t="s">
        <v>56</v>
      </c>
      <c r="D5" s="532" t="s">
        <v>222</v>
      </c>
      <c r="E5" s="532" t="s">
        <v>9</v>
      </c>
      <c r="F5" s="532"/>
      <c r="G5" s="532" t="s">
        <v>9</v>
      </c>
      <c r="H5" s="532"/>
      <c r="I5" s="532" t="s">
        <v>9</v>
      </c>
      <c r="J5" s="532"/>
      <c r="K5" s="532" t="s">
        <v>9</v>
      </c>
      <c r="L5" s="532"/>
      <c r="M5" s="532" t="s">
        <v>9</v>
      </c>
      <c r="N5" s="532"/>
    </row>
    <row r="6" spans="1:14" x14ac:dyDescent="0.25">
      <c r="A6" s="532"/>
      <c r="B6" s="532"/>
      <c r="C6" s="532"/>
      <c r="D6" s="532"/>
      <c r="E6" s="240" t="s">
        <v>35</v>
      </c>
      <c r="F6" s="240" t="s">
        <v>36</v>
      </c>
      <c r="G6" s="240" t="s">
        <v>35</v>
      </c>
      <c r="H6" s="240" t="s">
        <v>36</v>
      </c>
      <c r="I6" s="240" t="s">
        <v>35</v>
      </c>
      <c r="J6" s="240" t="s">
        <v>36</v>
      </c>
      <c r="K6" s="240" t="s">
        <v>35</v>
      </c>
      <c r="L6" s="240" t="s">
        <v>36</v>
      </c>
      <c r="M6" s="240" t="s">
        <v>35</v>
      </c>
      <c r="N6" s="240" t="s">
        <v>36</v>
      </c>
    </row>
    <row r="7" spans="1:14" ht="51" x14ac:dyDescent="0.25">
      <c r="A7" s="1">
        <v>1</v>
      </c>
      <c r="B7" s="88" t="s">
        <v>225</v>
      </c>
      <c r="C7" s="1" t="s">
        <v>7</v>
      </c>
      <c r="D7" s="1">
        <v>2</v>
      </c>
      <c r="E7" s="194">
        <v>892.5</v>
      </c>
      <c r="F7" s="194">
        <f>D7*E7</f>
        <v>1785</v>
      </c>
      <c r="G7" s="194">
        <v>255</v>
      </c>
      <c r="H7" s="194">
        <f>D7*G7</f>
        <v>510</v>
      </c>
      <c r="I7" s="194">
        <v>262</v>
      </c>
      <c r="J7" s="194">
        <f>I7*D7</f>
        <v>524</v>
      </c>
      <c r="K7" s="199"/>
      <c r="L7" s="209">
        <f>K7*D7</f>
        <v>0</v>
      </c>
      <c r="M7" s="199">
        <f>AVERAGE(G7,I7)</f>
        <v>258.5</v>
      </c>
      <c r="N7" s="209">
        <f>M7*D7</f>
        <v>517</v>
      </c>
    </row>
    <row r="8" spans="1:14" ht="76.5" x14ac:dyDescent="0.25">
      <c r="A8" s="1">
        <v>2</v>
      </c>
      <c r="B8" s="6" t="s">
        <v>226</v>
      </c>
      <c r="C8" s="1" t="s">
        <v>7</v>
      </c>
      <c r="D8" s="1">
        <v>1</v>
      </c>
      <c r="E8" s="194">
        <v>5180</v>
      </c>
      <c r="F8" s="194">
        <f>D8*E8</f>
        <v>5180</v>
      </c>
      <c r="G8" s="194">
        <f>149</f>
        <v>149</v>
      </c>
      <c r="H8" s="194">
        <f>D8*G8</f>
        <v>149</v>
      </c>
      <c r="I8" s="194">
        <f>1239.9</f>
        <v>1239.9000000000001</v>
      </c>
      <c r="J8" s="194">
        <f>I8*D8</f>
        <v>1239.9000000000001</v>
      </c>
      <c r="K8" s="199">
        <v>1981.14</v>
      </c>
      <c r="L8" s="209">
        <f>K8*D8</f>
        <v>1981.14</v>
      </c>
      <c r="M8" s="199">
        <f>AVERAGE(I8,K8)</f>
        <v>1610.52</v>
      </c>
      <c r="N8" s="209">
        <f>M8*D8</f>
        <v>1610.52</v>
      </c>
    </row>
    <row r="9" spans="1:14" x14ac:dyDescent="0.25">
      <c r="A9" s="84"/>
      <c r="B9" s="556" t="s">
        <v>41</v>
      </c>
      <c r="C9" s="556"/>
      <c r="D9" s="556"/>
      <c r="E9" s="556"/>
      <c r="F9" s="556"/>
      <c r="G9" s="556"/>
      <c r="H9" s="4">
        <f>SUM(H7:H8)</f>
        <v>659</v>
      </c>
      <c r="I9" s="7"/>
      <c r="J9" s="200">
        <f>SUM(J7:J8)</f>
        <v>1763.9</v>
      </c>
      <c r="K9" s="7"/>
      <c r="L9" s="200">
        <f>SUM(L7:L8)</f>
        <v>1981.14</v>
      </c>
      <c r="M9" s="7"/>
      <c r="N9" s="200">
        <f>SUM(N7:N8)</f>
        <v>2127.52</v>
      </c>
    </row>
    <row r="10" spans="1:14" x14ac:dyDescent="0.25">
      <c r="A10" s="594" t="s">
        <v>277</v>
      </c>
      <c r="B10" s="594"/>
      <c r="C10" s="594"/>
      <c r="D10" s="594"/>
      <c r="E10" s="594"/>
      <c r="F10" s="594"/>
      <c r="G10" s="594"/>
      <c r="H10" s="594"/>
    </row>
    <row r="11" spans="1:14" ht="21.75" customHeight="1" x14ac:dyDescent="0.25">
      <c r="A11" s="599" t="s">
        <v>5</v>
      </c>
      <c r="B11" s="599" t="s">
        <v>221</v>
      </c>
      <c r="C11" s="599" t="s">
        <v>56</v>
      </c>
      <c r="D11" s="599" t="s">
        <v>222</v>
      </c>
      <c r="E11" s="546" t="s">
        <v>9</v>
      </c>
      <c r="F11" s="548"/>
      <c r="G11" s="546" t="s">
        <v>9</v>
      </c>
      <c r="H11" s="548"/>
      <c r="I11" s="546" t="s">
        <v>551</v>
      </c>
      <c r="J11" s="548"/>
      <c r="K11" s="546" t="s">
        <v>551</v>
      </c>
      <c r="L11" s="548"/>
    </row>
    <row r="12" spans="1:14" ht="24" customHeight="1" x14ac:dyDescent="0.25">
      <c r="A12" s="596"/>
      <c r="B12" s="596"/>
      <c r="C12" s="596"/>
      <c r="D12" s="596"/>
      <c r="E12" s="8" t="s">
        <v>35</v>
      </c>
      <c r="F12" s="8" t="s">
        <v>36</v>
      </c>
      <c r="G12" s="8" t="s">
        <v>35</v>
      </c>
      <c r="H12" s="8" t="s">
        <v>36</v>
      </c>
      <c r="I12" s="8" t="s">
        <v>35</v>
      </c>
      <c r="J12" s="8" t="s">
        <v>36</v>
      </c>
      <c r="K12" s="8" t="s">
        <v>35</v>
      </c>
      <c r="L12" s="8" t="s">
        <v>36</v>
      </c>
    </row>
    <row r="13" spans="1:14" x14ac:dyDescent="0.25">
      <c r="A13" s="1">
        <v>1</v>
      </c>
      <c r="B13" s="88" t="s">
        <v>227</v>
      </c>
      <c r="C13" s="1" t="s">
        <v>56</v>
      </c>
      <c r="D13" s="1">
        <v>10</v>
      </c>
      <c r="E13" s="1">
        <v>2.91</v>
      </c>
      <c r="F13" s="1">
        <f t="shared" ref="F13:F24" si="0">E13*D13</f>
        <v>29.1</v>
      </c>
      <c r="G13" s="194">
        <v>2</v>
      </c>
      <c r="H13" s="198">
        <f t="shared" ref="H13:H24" si="1">D13*G13</f>
        <v>20</v>
      </c>
      <c r="I13" s="199">
        <v>3.24</v>
      </c>
      <c r="J13" s="199">
        <f t="shared" ref="J13:J24" si="2">I13*D13</f>
        <v>32.400000000000006</v>
      </c>
      <c r="K13" s="200">
        <f>AVERAGE(G13,I13)</f>
        <v>2.62</v>
      </c>
      <c r="L13" s="200">
        <f t="shared" ref="L13:L24" si="3">K13*D13</f>
        <v>26.200000000000003</v>
      </c>
    </row>
    <row r="14" spans="1:14" ht="25.5" x14ac:dyDescent="0.25">
      <c r="A14" s="1">
        <v>2</v>
      </c>
      <c r="B14" s="88" t="s">
        <v>228</v>
      </c>
      <c r="C14" s="1" t="s">
        <v>56</v>
      </c>
      <c r="D14" s="1">
        <v>2</v>
      </c>
      <c r="E14" s="1">
        <v>60.03</v>
      </c>
      <c r="F14" s="1">
        <f t="shared" si="0"/>
        <v>120.06</v>
      </c>
      <c r="G14" s="194">
        <v>35</v>
      </c>
      <c r="H14" s="198">
        <f t="shared" si="1"/>
        <v>70</v>
      </c>
      <c r="I14" s="199">
        <v>35.590000000000003</v>
      </c>
      <c r="J14" s="199">
        <f t="shared" si="2"/>
        <v>71.180000000000007</v>
      </c>
      <c r="K14" s="200">
        <f>AVERAGE(G14,I14)</f>
        <v>35.295000000000002</v>
      </c>
      <c r="L14" s="200">
        <f t="shared" si="3"/>
        <v>70.59</v>
      </c>
    </row>
    <row r="15" spans="1:14" ht="63.75" x14ac:dyDescent="0.25">
      <c r="A15" s="1">
        <v>3</v>
      </c>
      <c r="B15" s="88" t="s">
        <v>229</v>
      </c>
      <c r="C15" s="1" t="s">
        <v>56</v>
      </c>
      <c r="D15" s="1">
        <v>1</v>
      </c>
      <c r="E15" s="1">
        <v>16435.2</v>
      </c>
      <c r="F15" s="1">
        <f t="shared" si="0"/>
        <v>16435.2</v>
      </c>
      <c r="G15" s="194">
        <v>800</v>
      </c>
      <c r="H15" s="198">
        <f t="shared" si="1"/>
        <v>800</v>
      </c>
      <c r="I15" s="199">
        <v>599</v>
      </c>
      <c r="J15" s="199">
        <f t="shared" si="2"/>
        <v>599</v>
      </c>
      <c r="K15" s="200">
        <f>AVERAGE(G15,I15)</f>
        <v>699.5</v>
      </c>
      <c r="L15" s="200">
        <f t="shared" si="3"/>
        <v>699.5</v>
      </c>
    </row>
    <row r="16" spans="1:14" ht="25.5" x14ac:dyDescent="0.25">
      <c r="A16" s="1">
        <v>4</v>
      </c>
      <c r="B16" s="88" t="s">
        <v>230</v>
      </c>
      <c r="C16" s="1" t="s">
        <v>231</v>
      </c>
      <c r="D16" s="1">
        <v>100</v>
      </c>
      <c r="E16" s="1">
        <v>22.68</v>
      </c>
      <c r="F16" s="1">
        <f t="shared" si="0"/>
        <v>2268</v>
      </c>
      <c r="G16" s="194">
        <v>9</v>
      </c>
      <c r="H16" s="198">
        <f t="shared" si="1"/>
        <v>900</v>
      </c>
      <c r="I16" s="199">
        <v>0</v>
      </c>
      <c r="J16" s="199">
        <f t="shared" si="2"/>
        <v>0</v>
      </c>
      <c r="K16" s="200">
        <f>AVERAGE(G16)</f>
        <v>9</v>
      </c>
      <c r="L16" s="200">
        <f t="shared" si="3"/>
        <v>900</v>
      </c>
    </row>
    <row r="17" spans="1:12" ht="114.75" x14ac:dyDescent="0.25">
      <c r="A17" s="1">
        <v>5</v>
      </c>
      <c r="B17" s="88" t="s">
        <v>232</v>
      </c>
      <c r="C17" s="1" t="s">
        <v>56</v>
      </c>
      <c r="D17" s="1">
        <v>4</v>
      </c>
      <c r="E17" s="1">
        <v>26.01</v>
      </c>
      <c r="F17" s="1">
        <f t="shared" si="0"/>
        <v>104.04</v>
      </c>
      <c r="G17" s="194">
        <v>15</v>
      </c>
      <c r="H17" s="198">
        <f t="shared" si="1"/>
        <v>60</v>
      </c>
      <c r="I17" s="199">
        <v>78.27</v>
      </c>
      <c r="J17" s="199">
        <f t="shared" si="2"/>
        <v>313.08</v>
      </c>
      <c r="K17" s="200">
        <v>0</v>
      </c>
      <c r="L17" s="200">
        <f t="shared" si="3"/>
        <v>0</v>
      </c>
    </row>
    <row r="18" spans="1:12" x14ac:dyDescent="0.25">
      <c r="A18" s="1">
        <v>6</v>
      </c>
      <c r="B18" s="88" t="s">
        <v>233</v>
      </c>
      <c r="C18" s="1" t="s">
        <v>56</v>
      </c>
      <c r="D18" s="1">
        <v>2</v>
      </c>
      <c r="E18" s="1">
        <v>51.52</v>
      </c>
      <c r="F18" s="1">
        <f t="shared" si="0"/>
        <v>103.04</v>
      </c>
      <c r="G18" s="194">
        <v>20</v>
      </c>
      <c r="H18" s="198">
        <f t="shared" si="1"/>
        <v>40</v>
      </c>
      <c r="I18" s="199">
        <v>9.89</v>
      </c>
      <c r="J18" s="199">
        <f t="shared" si="2"/>
        <v>19.78</v>
      </c>
      <c r="K18" s="200">
        <f t="shared" ref="K18:K24" si="4">AVERAGE(G18,I18)</f>
        <v>14.945</v>
      </c>
      <c r="L18" s="200">
        <f t="shared" si="3"/>
        <v>29.89</v>
      </c>
    </row>
    <row r="19" spans="1:12" ht="127.5" x14ac:dyDescent="0.25">
      <c r="A19" s="1">
        <v>7</v>
      </c>
      <c r="B19" s="88" t="s">
        <v>234</v>
      </c>
      <c r="C19" s="1" t="s">
        <v>56</v>
      </c>
      <c r="D19" s="1">
        <v>4</v>
      </c>
      <c r="E19" s="1">
        <v>486.15</v>
      </c>
      <c r="F19" s="1">
        <f t="shared" si="0"/>
        <v>1944.6</v>
      </c>
      <c r="G19" s="194">
        <v>180</v>
      </c>
      <c r="H19" s="198">
        <f t="shared" si="1"/>
        <v>720</v>
      </c>
      <c r="I19" s="199">
        <v>379.9</v>
      </c>
      <c r="J19" s="199">
        <f t="shared" si="2"/>
        <v>1519.6</v>
      </c>
      <c r="K19" s="200">
        <f t="shared" si="4"/>
        <v>279.95</v>
      </c>
      <c r="L19" s="200">
        <f t="shared" si="3"/>
        <v>1119.8</v>
      </c>
    </row>
    <row r="20" spans="1:12" x14ac:dyDescent="0.25">
      <c r="A20" s="1">
        <v>8</v>
      </c>
      <c r="B20" s="88" t="s">
        <v>235</v>
      </c>
      <c r="C20" s="1" t="s">
        <v>236</v>
      </c>
      <c r="D20" s="1">
        <v>2</v>
      </c>
      <c r="E20" s="1">
        <v>1085</v>
      </c>
      <c r="F20" s="1">
        <f t="shared" si="0"/>
        <v>2170</v>
      </c>
      <c r="G20" s="194">
        <v>400</v>
      </c>
      <c r="H20" s="198">
        <f t="shared" si="1"/>
        <v>800</v>
      </c>
      <c r="I20" s="199">
        <v>334.9</v>
      </c>
      <c r="J20" s="199">
        <f t="shared" si="2"/>
        <v>669.8</v>
      </c>
      <c r="K20" s="200">
        <f t="shared" si="4"/>
        <v>367.45</v>
      </c>
      <c r="L20" s="200">
        <f t="shared" si="3"/>
        <v>734.9</v>
      </c>
    </row>
    <row r="21" spans="1:12" ht="25.5" x14ac:dyDescent="0.25">
      <c r="A21" s="1">
        <v>9</v>
      </c>
      <c r="B21" s="88" t="s">
        <v>237</v>
      </c>
      <c r="C21" s="1" t="s">
        <v>56</v>
      </c>
      <c r="D21" s="1">
        <v>2</v>
      </c>
      <c r="E21" s="1">
        <v>490</v>
      </c>
      <c r="F21" s="1">
        <f t="shared" si="0"/>
        <v>980</v>
      </c>
      <c r="G21" s="194">
        <v>200</v>
      </c>
      <c r="H21" s="198">
        <f t="shared" si="1"/>
        <v>400</v>
      </c>
      <c r="I21" s="199">
        <v>198.78</v>
      </c>
      <c r="J21" s="199">
        <f t="shared" si="2"/>
        <v>397.56</v>
      </c>
      <c r="K21" s="200">
        <f t="shared" si="4"/>
        <v>199.39</v>
      </c>
      <c r="L21" s="200">
        <f t="shared" si="3"/>
        <v>398.78</v>
      </c>
    </row>
    <row r="22" spans="1:12" ht="25.5" x14ac:dyDescent="0.25">
      <c r="A22" s="1">
        <v>10</v>
      </c>
      <c r="B22" s="88" t="s">
        <v>238</v>
      </c>
      <c r="C22" s="1" t="s">
        <v>84</v>
      </c>
      <c r="D22" s="1">
        <v>2</v>
      </c>
      <c r="E22" s="1">
        <v>770</v>
      </c>
      <c r="F22" s="1">
        <f t="shared" si="0"/>
        <v>1540</v>
      </c>
      <c r="G22" s="194">
        <v>300</v>
      </c>
      <c r="H22" s="198">
        <f t="shared" si="1"/>
        <v>600</v>
      </c>
      <c r="I22" s="199">
        <v>555.44000000000005</v>
      </c>
      <c r="J22" s="199">
        <f t="shared" si="2"/>
        <v>1110.8800000000001</v>
      </c>
      <c r="K22" s="200">
        <f t="shared" si="4"/>
        <v>427.72</v>
      </c>
      <c r="L22" s="200">
        <f t="shared" si="3"/>
        <v>855.44</v>
      </c>
    </row>
    <row r="23" spans="1:12" ht="25.5" x14ac:dyDescent="0.25">
      <c r="A23" s="1">
        <v>11</v>
      </c>
      <c r="B23" s="6" t="s">
        <v>239</v>
      </c>
      <c r="C23" s="1" t="s">
        <v>56</v>
      </c>
      <c r="D23" s="1">
        <v>10</v>
      </c>
      <c r="E23" s="1">
        <v>583.94000000000005</v>
      </c>
      <c r="F23" s="1">
        <f t="shared" si="0"/>
        <v>5839.4000000000005</v>
      </c>
      <c r="G23" s="194">
        <v>30</v>
      </c>
      <c r="H23" s="198">
        <f t="shared" si="1"/>
        <v>300</v>
      </c>
      <c r="I23" s="199">
        <v>37.630000000000003</v>
      </c>
      <c r="J23" s="199">
        <f t="shared" si="2"/>
        <v>376.3</v>
      </c>
      <c r="K23" s="200">
        <f t="shared" si="4"/>
        <v>33.814999999999998</v>
      </c>
      <c r="L23" s="200">
        <f t="shared" si="3"/>
        <v>338.15</v>
      </c>
    </row>
    <row r="24" spans="1:12" ht="38.25" x14ac:dyDescent="0.25">
      <c r="A24" s="1">
        <v>12</v>
      </c>
      <c r="B24" s="6" t="s">
        <v>240</v>
      </c>
      <c r="C24" s="1" t="s">
        <v>56</v>
      </c>
      <c r="D24" s="1">
        <v>2</v>
      </c>
      <c r="E24" s="1">
        <v>577.5</v>
      </c>
      <c r="F24" s="1">
        <f t="shared" si="0"/>
        <v>1155</v>
      </c>
      <c r="G24" s="194">
        <v>150</v>
      </c>
      <c r="H24" s="198">
        <f t="shared" si="1"/>
        <v>300</v>
      </c>
      <c r="I24" s="199">
        <v>140.5</v>
      </c>
      <c r="J24" s="199">
        <f t="shared" si="2"/>
        <v>281</v>
      </c>
      <c r="K24" s="200">
        <f t="shared" si="4"/>
        <v>145.25</v>
      </c>
      <c r="L24" s="200">
        <f t="shared" si="3"/>
        <v>290.5</v>
      </c>
    </row>
    <row r="25" spans="1:12" x14ac:dyDescent="0.25">
      <c r="A25" s="556" t="s">
        <v>41</v>
      </c>
      <c r="B25" s="556"/>
      <c r="C25" s="556"/>
      <c r="D25" s="556"/>
      <c r="E25" s="556"/>
      <c r="F25" s="556"/>
      <c r="G25" s="556"/>
      <c r="H25" s="95">
        <f>SUM(H13:H24)</f>
        <v>5010</v>
      </c>
      <c r="I25" s="7"/>
      <c r="J25" s="202">
        <f>SUM(J13:J24)</f>
        <v>5390.5800000000008</v>
      </c>
      <c r="K25" s="7"/>
      <c r="L25" s="202">
        <f>SUM(L13:L24)</f>
        <v>5463.75</v>
      </c>
    </row>
    <row r="26" spans="1:12" x14ac:dyDescent="0.25">
      <c r="A26" s="592" t="s">
        <v>278</v>
      </c>
      <c r="B26" s="593"/>
      <c r="C26" s="593"/>
      <c r="D26" s="593"/>
      <c r="E26" s="593"/>
      <c r="F26" s="593"/>
      <c r="G26" s="593"/>
      <c r="H26" s="593"/>
    </row>
    <row r="27" spans="1:12" ht="21" customHeight="1" x14ac:dyDescent="0.25">
      <c r="A27" s="595" t="s">
        <v>5</v>
      </c>
      <c r="B27" s="595" t="s">
        <v>221</v>
      </c>
      <c r="C27" s="595" t="s">
        <v>56</v>
      </c>
      <c r="D27" s="595" t="s">
        <v>222</v>
      </c>
      <c r="E27" s="597" t="s">
        <v>9</v>
      </c>
      <c r="F27" s="598"/>
      <c r="G27" s="597" t="s">
        <v>9</v>
      </c>
      <c r="H27" s="598"/>
      <c r="I27" s="556" t="s">
        <v>551</v>
      </c>
      <c r="J27" s="556"/>
      <c r="K27" s="556" t="s">
        <v>551</v>
      </c>
      <c r="L27" s="556"/>
    </row>
    <row r="28" spans="1:12" ht="21.75" customHeight="1" x14ac:dyDescent="0.25">
      <c r="A28" s="596"/>
      <c r="B28" s="596"/>
      <c r="C28" s="596"/>
      <c r="D28" s="596"/>
      <c r="E28" s="8" t="s">
        <v>35</v>
      </c>
      <c r="F28" s="8" t="s">
        <v>36</v>
      </c>
      <c r="G28" s="8" t="s">
        <v>35</v>
      </c>
      <c r="H28" s="8" t="s">
        <v>36</v>
      </c>
      <c r="I28" s="8" t="s">
        <v>35</v>
      </c>
      <c r="J28" s="8" t="s">
        <v>36</v>
      </c>
      <c r="K28" s="8" t="s">
        <v>35</v>
      </c>
      <c r="L28" s="8" t="s">
        <v>36</v>
      </c>
    </row>
    <row r="29" spans="1:12" x14ac:dyDescent="0.25">
      <c r="A29" s="1">
        <v>1</v>
      </c>
      <c r="B29" s="88" t="s">
        <v>241</v>
      </c>
      <c r="C29" s="1" t="s">
        <v>56</v>
      </c>
      <c r="D29" s="80">
        <v>1</v>
      </c>
      <c r="E29" s="194">
        <v>980</v>
      </c>
      <c r="F29" s="194">
        <f t="shared" ref="F29:F49" si="5">E29*D29</f>
        <v>980</v>
      </c>
      <c r="G29" s="194">
        <v>250</v>
      </c>
      <c r="H29" s="194">
        <f t="shared" ref="H29:H49" si="6">D29*G29</f>
        <v>250</v>
      </c>
      <c r="I29" s="199">
        <v>399.89</v>
      </c>
      <c r="J29" s="199">
        <f t="shared" ref="J29:J49" si="7">I29*D29</f>
        <v>399.89</v>
      </c>
      <c r="K29" s="211">
        <f>AVERAGE(G29,I29)</f>
        <v>324.94499999999999</v>
      </c>
      <c r="L29" s="7">
        <f t="shared" ref="L29:L49" si="8">K29*D29</f>
        <v>324.94499999999999</v>
      </c>
    </row>
    <row r="30" spans="1:12" ht="51" x14ac:dyDescent="0.25">
      <c r="A30" s="1">
        <v>2</v>
      </c>
      <c r="B30" s="88" t="s">
        <v>242</v>
      </c>
      <c r="C30" s="1" t="s">
        <v>56</v>
      </c>
      <c r="D30" s="80">
        <v>2</v>
      </c>
      <c r="E30" s="194">
        <v>479.5</v>
      </c>
      <c r="F30" s="194">
        <f t="shared" si="5"/>
        <v>959</v>
      </c>
      <c r="G30" s="194">
        <v>80</v>
      </c>
      <c r="H30" s="194">
        <f t="shared" si="6"/>
        <v>160</v>
      </c>
      <c r="I30" s="199">
        <v>172.9</v>
      </c>
      <c r="J30" s="199">
        <f t="shared" si="7"/>
        <v>345.8</v>
      </c>
      <c r="K30" s="200">
        <f>AVERAGE(I30)</f>
        <v>172.9</v>
      </c>
      <c r="L30" s="7">
        <f t="shared" si="8"/>
        <v>345.8</v>
      </c>
    </row>
    <row r="31" spans="1:12" x14ac:dyDescent="0.25">
      <c r="A31" s="1">
        <v>3</v>
      </c>
      <c r="B31" s="88" t="s">
        <v>243</v>
      </c>
      <c r="C31" s="1" t="s">
        <v>56</v>
      </c>
      <c r="D31" s="80">
        <v>1</v>
      </c>
      <c r="E31" s="194">
        <v>2793</v>
      </c>
      <c r="F31" s="194">
        <f t="shared" si="5"/>
        <v>2793</v>
      </c>
      <c r="G31" s="194">
        <v>1000</v>
      </c>
      <c r="H31" s="194">
        <f t="shared" si="6"/>
        <v>1000</v>
      </c>
      <c r="I31" s="199">
        <v>900.87</v>
      </c>
      <c r="J31" s="199">
        <f t="shared" si="7"/>
        <v>900.87</v>
      </c>
      <c r="K31" s="211">
        <f>AVERAGE(G31,I31)</f>
        <v>950.43499999999995</v>
      </c>
      <c r="L31" s="7">
        <f t="shared" si="8"/>
        <v>950.43499999999995</v>
      </c>
    </row>
    <row r="32" spans="1:12" x14ac:dyDescent="0.25">
      <c r="A32" s="1">
        <v>4</v>
      </c>
      <c r="B32" s="88" t="s">
        <v>244</v>
      </c>
      <c r="C32" s="1" t="s">
        <v>56</v>
      </c>
      <c r="D32" s="80">
        <v>2</v>
      </c>
      <c r="E32" s="194">
        <v>91</v>
      </c>
      <c r="F32" s="194">
        <f t="shared" si="5"/>
        <v>182</v>
      </c>
      <c r="G32" s="194">
        <v>40</v>
      </c>
      <c r="H32" s="194">
        <f t="shared" si="6"/>
        <v>80</v>
      </c>
      <c r="I32" s="199">
        <v>64.900000000000006</v>
      </c>
      <c r="J32" s="199">
        <f t="shared" si="7"/>
        <v>129.80000000000001</v>
      </c>
      <c r="K32" s="211">
        <f>AVERAGE(G32,I32)</f>
        <v>52.45</v>
      </c>
      <c r="L32" s="7">
        <f t="shared" si="8"/>
        <v>104.9</v>
      </c>
    </row>
    <row r="33" spans="1:12" ht="25.5" x14ac:dyDescent="0.25">
      <c r="A33" s="1">
        <v>5</v>
      </c>
      <c r="B33" s="88" t="s">
        <v>245</v>
      </c>
      <c r="C33" s="1" t="s">
        <v>56</v>
      </c>
      <c r="D33" s="80">
        <v>2</v>
      </c>
      <c r="E33" s="194">
        <v>594.51</v>
      </c>
      <c r="F33" s="194">
        <f t="shared" si="5"/>
        <v>1189.02</v>
      </c>
      <c r="G33" s="194">
        <v>200</v>
      </c>
      <c r="H33" s="194">
        <f t="shared" si="6"/>
        <v>400</v>
      </c>
      <c r="I33" s="199"/>
      <c r="J33" s="199">
        <f t="shared" si="7"/>
        <v>0</v>
      </c>
      <c r="K33" s="211">
        <f>AVERAGE(G33)</f>
        <v>200</v>
      </c>
      <c r="L33" s="7">
        <f t="shared" si="8"/>
        <v>400</v>
      </c>
    </row>
    <row r="34" spans="1:12" ht="25.5" x14ac:dyDescent="0.25">
      <c r="A34" s="1">
        <v>6</v>
      </c>
      <c r="B34" s="88" t="s">
        <v>274</v>
      </c>
      <c r="C34" s="1" t="s">
        <v>56</v>
      </c>
      <c r="D34" s="80">
        <v>4</v>
      </c>
      <c r="E34" s="194">
        <v>97.65</v>
      </c>
      <c r="F34" s="194">
        <f t="shared" si="5"/>
        <v>390.6</v>
      </c>
      <c r="G34" s="194">
        <v>35</v>
      </c>
      <c r="H34" s="194">
        <f t="shared" si="6"/>
        <v>140</v>
      </c>
      <c r="I34" s="199">
        <v>33.020000000000003</v>
      </c>
      <c r="J34" s="199">
        <f t="shared" si="7"/>
        <v>132.08000000000001</v>
      </c>
      <c r="K34" s="211">
        <f t="shared" ref="K34:K49" si="9">AVERAGE(G34,I34)</f>
        <v>34.010000000000005</v>
      </c>
      <c r="L34" s="7">
        <f t="shared" si="8"/>
        <v>136.04000000000002</v>
      </c>
    </row>
    <row r="35" spans="1:12" x14ac:dyDescent="0.25">
      <c r="A35" s="1">
        <v>7</v>
      </c>
      <c r="B35" s="6" t="s">
        <v>246</v>
      </c>
      <c r="C35" s="1" t="s">
        <v>56</v>
      </c>
      <c r="D35" s="80">
        <v>4</v>
      </c>
      <c r="E35" s="194">
        <v>187.25</v>
      </c>
      <c r="F35" s="194">
        <f t="shared" si="5"/>
        <v>749</v>
      </c>
      <c r="G35" s="194">
        <v>30</v>
      </c>
      <c r="H35" s="194">
        <f t="shared" si="6"/>
        <v>120</v>
      </c>
      <c r="I35" s="199">
        <v>27.09</v>
      </c>
      <c r="J35" s="199">
        <f t="shared" si="7"/>
        <v>108.36</v>
      </c>
      <c r="K35" s="211">
        <f t="shared" si="9"/>
        <v>28.545000000000002</v>
      </c>
      <c r="L35" s="7">
        <f t="shared" si="8"/>
        <v>114.18</v>
      </c>
    </row>
    <row r="36" spans="1:12" x14ac:dyDescent="0.25">
      <c r="A36" s="1">
        <v>8</v>
      </c>
      <c r="B36" s="88" t="s">
        <v>247</v>
      </c>
      <c r="C36" s="1" t="s">
        <v>56</v>
      </c>
      <c r="D36" s="80">
        <v>2</v>
      </c>
      <c r="E36" s="194">
        <v>114.1</v>
      </c>
      <c r="F36" s="194">
        <f t="shared" si="5"/>
        <v>228.2</v>
      </c>
      <c r="G36" s="194">
        <v>30</v>
      </c>
      <c r="H36" s="194">
        <f t="shared" si="6"/>
        <v>60</v>
      </c>
      <c r="I36" s="199">
        <v>29.43</v>
      </c>
      <c r="J36" s="199">
        <f t="shared" si="7"/>
        <v>58.86</v>
      </c>
      <c r="K36" s="211">
        <f t="shared" si="9"/>
        <v>29.715</v>
      </c>
      <c r="L36" s="7">
        <f t="shared" si="8"/>
        <v>59.43</v>
      </c>
    </row>
    <row r="37" spans="1:12" x14ac:dyDescent="0.25">
      <c r="A37" s="1">
        <v>9</v>
      </c>
      <c r="B37" s="88" t="s">
        <v>248</v>
      </c>
      <c r="C37" s="1" t="s">
        <v>56</v>
      </c>
      <c r="D37" s="80">
        <v>2</v>
      </c>
      <c r="E37" s="194">
        <v>29.75</v>
      </c>
      <c r="F37" s="194">
        <f t="shared" si="5"/>
        <v>59.5</v>
      </c>
      <c r="G37" s="194">
        <v>15</v>
      </c>
      <c r="H37" s="194">
        <f t="shared" si="6"/>
        <v>30</v>
      </c>
      <c r="I37" s="199">
        <v>17.899999999999999</v>
      </c>
      <c r="J37" s="199">
        <f t="shared" si="7"/>
        <v>35.799999999999997</v>
      </c>
      <c r="K37" s="211">
        <f t="shared" si="9"/>
        <v>16.45</v>
      </c>
      <c r="L37" s="7">
        <f t="shared" si="8"/>
        <v>32.9</v>
      </c>
    </row>
    <row r="38" spans="1:12" x14ac:dyDescent="0.25">
      <c r="A38" s="1">
        <v>10</v>
      </c>
      <c r="B38" s="88" t="s">
        <v>249</v>
      </c>
      <c r="C38" s="1" t="s">
        <v>56</v>
      </c>
      <c r="D38" s="80">
        <v>2</v>
      </c>
      <c r="E38" s="194">
        <v>265.64999999999998</v>
      </c>
      <c r="F38" s="194">
        <f t="shared" si="5"/>
        <v>531.29999999999995</v>
      </c>
      <c r="G38" s="194">
        <v>70</v>
      </c>
      <c r="H38" s="194">
        <f t="shared" si="6"/>
        <v>140</v>
      </c>
      <c r="I38" s="199">
        <v>82.21</v>
      </c>
      <c r="J38" s="199">
        <f t="shared" si="7"/>
        <v>164.42</v>
      </c>
      <c r="K38" s="211">
        <f t="shared" si="9"/>
        <v>76.10499999999999</v>
      </c>
      <c r="L38" s="7">
        <f t="shared" si="8"/>
        <v>152.20999999999998</v>
      </c>
    </row>
    <row r="39" spans="1:12" ht="25.5" x14ac:dyDescent="0.25">
      <c r="A39" s="1">
        <v>11</v>
      </c>
      <c r="B39" s="88" t="s">
        <v>250</v>
      </c>
      <c r="C39" s="1" t="s">
        <v>84</v>
      </c>
      <c r="D39" s="80">
        <v>2</v>
      </c>
      <c r="E39" s="194">
        <v>725.48</v>
      </c>
      <c r="F39" s="194">
        <f t="shared" si="5"/>
        <v>1450.96</v>
      </c>
      <c r="G39" s="194">
        <v>300</v>
      </c>
      <c r="H39" s="194">
        <f t="shared" si="6"/>
        <v>600</v>
      </c>
      <c r="I39" s="199">
        <v>198.29</v>
      </c>
      <c r="J39" s="199">
        <f t="shared" si="7"/>
        <v>396.58</v>
      </c>
      <c r="K39" s="211">
        <f t="shared" si="9"/>
        <v>249.14499999999998</v>
      </c>
      <c r="L39" s="7">
        <f t="shared" si="8"/>
        <v>498.28999999999996</v>
      </c>
    </row>
    <row r="40" spans="1:12" ht="25.5" x14ac:dyDescent="0.25">
      <c r="A40" s="84">
        <v>12</v>
      </c>
      <c r="B40" s="88" t="s">
        <v>275</v>
      </c>
      <c r="C40" s="84" t="s">
        <v>56</v>
      </c>
      <c r="D40" s="80">
        <v>1</v>
      </c>
      <c r="E40" s="194">
        <v>5366.2</v>
      </c>
      <c r="F40" s="194">
        <f t="shared" si="5"/>
        <v>5366.2</v>
      </c>
      <c r="G40" s="194">
        <v>1300</v>
      </c>
      <c r="H40" s="194">
        <f t="shared" si="6"/>
        <v>1300</v>
      </c>
      <c r="I40" s="199">
        <v>1329.4</v>
      </c>
      <c r="J40" s="199">
        <f t="shared" si="7"/>
        <v>1329.4</v>
      </c>
      <c r="K40" s="211">
        <f t="shared" si="9"/>
        <v>1314.7</v>
      </c>
      <c r="L40" s="7">
        <f t="shared" si="8"/>
        <v>1314.7</v>
      </c>
    </row>
    <row r="41" spans="1:12" x14ac:dyDescent="0.25">
      <c r="A41" s="1">
        <v>13</v>
      </c>
      <c r="B41" s="88" t="s">
        <v>251</v>
      </c>
      <c r="C41" s="1" t="s">
        <v>56</v>
      </c>
      <c r="D41" s="80">
        <v>2</v>
      </c>
      <c r="E41" s="194">
        <v>120.89</v>
      </c>
      <c r="F41" s="194">
        <f t="shared" si="5"/>
        <v>241.78</v>
      </c>
      <c r="G41" s="194">
        <v>40</v>
      </c>
      <c r="H41" s="194">
        <f t="shared" si="6"/>
        <v>80</v>
      </c>
      <c r="I41" s="199">
        <v>45.64</v>
      </c>
      <c r="J41" s="199">
        <f t="shared" si="7"/>
        <v>91.28</v>
      </c>
      <c r="K41" s="211">
        <f t="shared" si="9"/>
        <v>42.82</v>
      </c>
      <c r="L41" s="7">
        <f t="shared" si="8"/>
        <v>85.64</v>
      </c>
    </row>
    <row r="42" spans="1:12" ht="25.5" x14ac:dyDescent="0.25">
      <c r="A42" s="1">
        <v>14</v>
      </c>
      <c r="B42" s="88" t="s">
        <v>252</v>
      </c>
      <c r="C42" s="1" t="s">
        <v>56</v>
      </c>
      <c r="D42" s="80">
        <v>2</v>
      </c>
      <c r="E42" s="194">
        <v>430.99</v>
      </c>
      <c r="F42" s="194">
        <f t="shared" si="5"/>
        <v>861.98</v>
      </c>
      <c r="G42" s="194">
        <v>200</v>
      </c>
      <c r="H42" s="194">
        <f t="shared" si="6"/>
        <v>400</v>
      </c>
      <c r="I42" s="199">
        <v>161</v>
      </c>
      <c r="J42" s="199">
        <f t="shared" si="7"/>
        <v>322</v>
      </c>
      <c r="K42" s="211">
        <f t="shared" si="9"/>
        <v>180.5</v>
      </c>
      <c r="L42" s="7">
        <f t="shared" si="8"/>
        <v>361</v>
      </c>
    </row>
    <row r="43" spans="1:12" ht="25.5" x14ac:dyDescent="0.25">
      <c r="A43" s="1">
        <v>15</v>
      </c>
      <c r="B43" s="88" t="s">
        <v>253</v>
      </c>
      <c r="C43" s="1" t="s">
        <v>56</v>
      </c>
      <c r="D43" s="80">
        <v>2</v>
      </c>
      <c r="E43" s="194">
        <v>219.56</v>
      </c>
      <c r="F43" s="194">
        <f t="shared" si="5"/>
        <v>439.12</v>
      </c>
      <c r="G43" s="194">
        <v>45</v>
      </c>
      <c r="H43" s="194">
        <f t="shared" si="6"/>
        <v>90</v>
      </c>
      <c r="I43" s="199">
        <v>89.9</v>
      </c>
      <c r="J43" s="199">
        <f t="shared" si="7"/>
        <v>179.8</v>
      </c>
      <c r="K43" s="211">
        <f t="shared" si="9"/>
        <v>67.45</v>
      </c>
      <c r="L43" s="7">
        <f t="shared" si="8"/>
        <v>134.9</v>
      </c>
    </row>
    <row r="44" spans="1:12" ht="25.5" x14ac:dyDescent="0.25">
      <c r="A44" s="1">
        <v>16</v>
      </c>
      <c r="B44" s="88" t="s">
        <v>254</v>
      </c>
      <c r="C44" s="1" t="s">
        <v>56</v>
      </c>
      <c r="D44" s="80">
        <v>2</v>
      </c>
      <c r="E44" s="194">
        <v>77</v>
      </c>
      <c r="F44" s="194">
        <f t="shared" si="5"/>
        <v>154</v>
      </c>
      <c r="G44" s="194">
        <v>30</v>
      </c>
      <c r="H44" s="194">
        <f t="shared" si="6"/>
        <v>60</v>
      </c>
      <c r="I44" s="199">
        <v>22.5</v>
      </c>
      <c r="J44" s="199">
        <f t="shared" si="7"/>
        <v>45</v>
      </c>
      <c r="K44" s="211">
        <f t="shared" si="9"/>
        <v>26.25</v>
      </c>
      <c r="L44" s="7">
        <f t="shared" si="8"/>
        <v>52.5</v>
      </c>
    </row>
    <row r="45" spans="1:12" x14ac:dyDescent="0.25">
      <c r="A45" s="1">
        <v>17</v>
      </c>
      <c r="B45" s="88" t="s">
        <v>255</v>
      </c>
      <c r="C45" s="1" t="s">
        <v>56</v>
      </c>
      <c r="D45" s="80">
        <v>2</v>
      </c>
      <c r="E45" s="194">
        <v>89.22</v>
      </c>
      <c r="F45" s="194">
        <f t="shared" si="5"/>
        <v>178.44</v>
      </c>
      <c r="G45" s="194">
        <v>30</v>
      </c>
      <c r="H45" s="194">
        <f t="shared" si="6"/>
        <v>60</v>
      </c>
      <c r="I45" s="199">
        <v>19.89</v>
      </c>
      <c r="J45" s="199">
        <f t="shared" si="7"/>
        <v>39.78</v>
      </c>
      <c r="K45" s="211">
        <f t="shared" si="9"/>
        <v>24.945</v>
      </c>
      <c r="L45" s="7">
        <f t="shared" si="8"/>
        <v>49.89</v>
      </c>
    </row>
    <row r="46" spans="1:12" ht="25.5" x14ac:dyDescent="0.25">
      <c r="A46" s="1">
        <v>18</v>
      </c>
      <c r="B46" s="88" t="s">
        <v>256</v>
      </c>
      <c r="C46" s="1" t="s">
        <v>56</v>
      </c>
      <c r="D46" s="80">
        <v>2</v>
      </c>
      <c r="E46" s="194">
        <v>98.77</v>
      </c>
      <c r="F46" s="194">
        <f t="shared" si="5"/>
        <v>197.54</v>
      </c>
      <c r="G46" s="194">
        <v>40</v>
      </c>
      <c r="H46" s="194">
        <f t="shared" si="6"/>
        <v>80</v>
      </c>
      <c r="I46" s="199">
        <v>52.4</v>
      </c>
      <c r="J46" s="199">
        <f t="shared" si="7"/>
        <v>104.8</v>
      </c>
      <c r="K46" s="211">
        <f t="shared" si="9"/>
        <v>46.2</v>
      </c>
      <c r="L46" s="7">
        <f t="shared" si="8"/>
        <v>92.4</v>
      </c>
    </row>
    <row r="47" spans="1:12" ht="25.5" x14ac:dyDescent="0.25">
      <c r="A47" s="1">
        <v>19</v>
      </c>
      <c r="B47" s="88" t="s">
        <v>273</v>
      </c>
      <c r="C47" s="1" t="s">
        <v>56</v>
      </c>
      <c r="D47" s="80">
        <v>2</v>
      </c>
      <c r="E47" s="194">
        <v>148.37</v>
      </c>
      <c r="F47" s="194">
        <f t="shared" si="5"/>
        <v>296.74</v>
      </c>
      <c r="G47" s="194">
        <v>60</v>
      </c>
      <c r="H47" s="194">
        <f t="shared" si="6"/>
        <v>120</v>
      </c>
      <c r="I47" s="199">
        <v>80.760000000000005</v>
      </c>
      <c r="J47" s="199">
        <f t="shared" si="7"/>
        <v>161.52000000000001</v>
      </c>
      <c r="K47" s="211">
        <f t="shared" si="9"/>
        <v>70.38</v>
      </c>
      <c r="L47" s="7">
        <f t="shared" si="8"/>
        <v>140.76</v>
      </c>
    </row>
    <row r="48" spans="1:12" x14ac:dyDescent="0.25">
      <c r="A48" s="1">
        <v>20</v>
      </c>
      <c r="B48" s="88" t="s">
        <v>257</v>
      </c>
      <c r="C48" s="1" t="s">
        <v>56</v>
      </c>
      <c r="D48" s="80">
        <v>2</v>
      </c>
      <c r="E48" s="194">
        <v>213.5</v>
      </c>
      <c r="F48" s="194">
        <f t="shared" si="5"/>
        <v>427</v>
      </c>
      <c r="G48" s="194">
        <v>25</v>
      </c>
      <c r="H48" s="194">
        <f t="shared" si="6"/>
        <v>50</v>
      </c>
      <c r="I48" s="199">
        <v>31.26</v>
      </c>
      <c r="J48" s="199">
        <f t="shared" si="7"/>
        <v>62.52</v>
      </c>
      <c r="K48" s="211">
        <f t="shared" si="9"/>
        <v>28.130000000000003</v>
      </c>
      <c r="L48" s="7">
        <f t="shared" si="8"/>
        <v>56.260000000000005</v>
      </c>
    </row>
    <row r="49" spans="1:12" ht="25.5" x14ac:dyDescent="0.25">
      <c r="A49" s="84">
        <v>21</v>
      </c>
      <c r="B49" s="93" t="s">
        <v>272</v>
      </c>
      <c r="C49" s="1" t="s">
        <v>56</v>
      </c>
      <c r="D49" s="80">
        <v>1</v>
      </c>
      <c r="E49" s="194">
        <v>4219.1099999999997</v>
      </c>
      <c r="F49" s="194">
        <f t="shared" si="5"/>
        <v>4219.1099999999997</v>
      </c>
      <c r="G49" s="194">
        <v>800</v>
      </c>
      <c r="H49" s="194">
        <f t="shared" si="6"/>
        <v>800</v>
      </c>
      <c r="I49" s="199">
        <v>809.9</v>
      </c>
      <c r="J49" s="199">
        <f t="shared" si="7"/>
        <v>809.9</v>
      </c>
      <c r="K49" s="211">
        <f t="shared" si="9"/>
        <v>804.95</v>
      </c>
      <c r="L49" s="7">
        <f t="shared" si="8"/>
        <v>804.95</v>
      </c>
    </row>
    <row r="50" spans="1:12" ht="15" customHeight="1" x14ac:dyDescent="0.25">
      <c r="A50" s="556" t="s">
        <v>41</v>
      </c>
      <c r="B50" s="556"/>
      <c r="C50" s="556"/>
      <c r="D50" s="556"/>
      <c r="E50" s="6"/>
      <c r="F50" s="213">
        <f>SUM(F29:F49)</f>
        <v>21894.490000000005</v>
      </c>
      <c r="G50" s="213"/>
      <c r="H50" s="214">
        <f>SUM(H29:H49)</f>
        <v>6020</v>
      </c>
      <c r="I50" s="7"/>
      <c r="J50" s="202">
        <f>SUM(J29:J49)</f>
        <v>5818.4600000000009</v>
      </c>
      <c r="K50" s="7"/>
      <c r="L50" s="202">
        <f>SUM(L29:L49)</f>
        <v>6212.13</v>
      </c>
    </row>
    <row r="51" spans="1:12" x14ac:dyDescent="0.25">
      <c r="A51" s="608" t="s">
        <v>258</v>
      </c>
      <c r="B51" s="609"/>
      <c r="C51" s="609"/>
      <c r="D51" s="609"/>
      <c r="E51" s="609"/>
      <c r="F51" s="609"/>
      <c r="G51" s="609"/>
      <c r="H51" s="609"/>
      <c r="L51" s="210"/>
    </row>
    <row r="52" spans="1:12" ht="15" customHeight="1" x14ac:dyDescent="0.25">
      <c r="A52" s="599" t="s">
        <v>5</v>
      </c>
      <c r="B52" s="599" t="s">
        <v>221</v>
      </c>
      <c r="C52" s="599" t="s">
        <v>56</v>
      </c>
      <c r="D52" s="599" t="s">
        <v>222</v>
      </c>
      <c r="E52" s="546" t="s">
        <v>9</v>
      </c>
      <c r="F52" s="548"/>
      <c r="G52" s="546" t="s">
        <v>9</v>
      </c>
      <c r="H52" s="548"/>
      <c r="I52" s="546" t="s">
        <v>551</v>
      </c>
      <c r="J52" s="548"/>
      <c r="K52" s="546" t="s">
        <v>551</v>
      </c>
      <c r="L52" s="548"/>
    </row>
    <row r="53" spans="1:12" x14ac:dyDescent="0.25">
      <c r="A53" s="596"/>
      <c r="B53" s="596"/>
      <c r="C53" s="596"/>
      <c r="D53" s="596"/>
      <c r="E53" s="8" t="s">
        <v>35</v>
      </c>
      <c r="F53" s="8" t="s">
        <v>36</v>
      </c>
      <c r="G53" s="8" t="s">
        <v>35</v>
      </c>
      <c r="H53" s="8" t="s">
        <v>36</v>
      </c>
      <c r="I53" s="8" t="s">
        <v>35</v>
      </c>
      <c r="J53" s="8" t="s">
        <v>36</v>
      </c>
      <c r="K53" s="8" t="s">
        <v>35</v>
      </c>
      <c r="L53" s="8" t="s">
        <v>36</v>
      </c>
    </row>
    <row r="54" spans="1:12" ht="25.5" x14ac:dyDescent="0.25">
      <c r="A54" s="1">
        <v>1</v>
      </c>
      <c r="B54" s="88" t="s">
        <v>259</v>
      </c>
      <c r="C54" s="1" t="s">
        <v>56</v>
      </c>
      <c r="D54" s="80">
        <v>2</v>
      </c>
      <c r="E54" s="194">
        <v>1592.05</v>
      </c>
      <c r="F54" s="194">
        <f t="shared" ref="F54:F66" si="10">E54*D54</f>
        <v>3184.1</v>
      </c>
      <c r="G54" s="3">
        <v>300</v>
      </c>
      <c r="H54" s="3">
        <f t="shared" ref="H54:H66" si="11">D54*G54</f>
        <v>600</v>
      </c>
      <c r="I54" s="199">
        <v>379</v>
      </c>
      <c r="J54" s="199">
        <f t="shared" ref="J54:J66" si="12">I54*D54</f>
        <v>758</v>
      </c>
      <c r="K54" s="200">
        <f t="shared" ref="K54:K61" si="13">AVERAGE(G54,I54)</f>
        <v>339.5</v>
      </c>
      <c r="L54" s="200">
        <f t="shared" ref="L54:L66" si="14">AVERAGE(K54*D54)</f>
        <v>679</v>
      </c>
    </row>
    <row r="55" spans="1:12" ht="25.5" x14ac:dyDescent="0.25">
      <c r="A55" s="1">
        <v>2</v>
      </c>
      <c r="B55" s="88" t="s">
        <v>260</v>
      </c>
      <c r="C55" s="1" t="s">
        <v>56</v>
      </c>
      <c r="D55" s="80">
        <v>2</v>
      </c>
      <c r="E55" s="194">
        <v>1225</v>
      </c>
      <c r="F55" s="194">
        <f t="shared" si="10"/>
        <v>2450</v>
      </c>
      <c r="G55" s="3">
        <v>600</v>
      </c>
      <c r="H55" s="3">
        <f t="shared" si="11"/>
        <v>1200</v>
      </c>
      <c r="I55" s="199">
        <v>605</v>
      </c>
      <c r="J55" s="199">
        <f t="shared" si="12"/>
        <v>1210</v>
      </c>
      <c r="K55" s="200">
        <f t="shared" si="13"/>
        <v>602.5</v>
      </c>
      <c r="L55" s="200">
        <f t="shared" si="14"/>
        <v>1205</v>
      </c>
    </row>
    <row r="56" spans="1:12" ht="25.5" x14ac:dyDescent="0.25">
      <c r="A56" s="1">
        <v>3</v>
      </c>
      <c r="B56" s="6" t="s">
        <v>261</v>
      </c>
      <c r="C56" s="1" t="s">
        <v>56</v>
      </c>
      <c r="D56" s="80">
        <v>80</v>
      </c>
      <c r="E56" s="194">
        <v>87.5</v>
      </c>
      <c r="F56" s="194">
        <f t="shared" si="10"/>
        <v>7000</v>
      </c>
      <c r="G56" s="3">
        <v>30</v>
      </c>
      <c r="H56" s="3">
        <f t="shared" si="11"/>
        <v>2400</v>
      </c>
      <c r="I56" s="199">
        <v>26.5</v>
      </c>
      <c r="J56" s="199">
        <f t="shared" si="12"/>
        <v>2120</v>
      </c>
      <c r="K56" s="200">
        <f>AVERAGE(E56,G56,I56)</f>
        <v>48</v>
      </c>
      <c r="L56" s="200">
        <f t="shared" si="14"/>
        <v>3840</v>
      </c>
    </row>
    <row r="57" spans="1:12" x14ac:dyDescent="0.25">
      <c r="A57" s="1">
        <v>4</v>
      </c>
      <c r="B57" s="92" t="s">
        <v>262</v>
      </c>
      <c r="C57" s="1" t="s">
        <v>56</v>
      </c>
      <c r="D57" s="80">
        <v>2</v>
      </c>
      <c r="E57" s="194">
        <v>6160</v>
      </c>
      <c r="F57" s="194">
        <f t="shared" si="10"/>
        <v>12320</v>
      </c>
      <c r="G57" s="3">
        <v>1500</v>
      </c>
      <c r="H57" s="3">
        <f t="shared" si="11"/>
        <v>3000</v>
      </c>
      <c r="I57" s="199">
        <v>1689</v>
      </c>
      <c r="J57" s="199">
        <f t="shared" si="12"/>
        <v>3378</v>
      </c>
      <c r="K57" s="200">
        <f t="shared" si="13"/>
        <v>1594.5</v>
      </c>
      <c r="L57" s="200">
        <f t="shared" si="14"/>
        <v>3189</v>
      </c>
    </row>
    <row r="58" spans="1:12" x14ac:dyDescent="0.25">
      <c r="A58" s="1">
        <v>5</v>
      </c>
      <c r="B58" s="92" t="s">
        <v>263</v>
      </c>
      <c r="C58" s="1" t="s">
        <v>56</v>
      </c>
      <c r="D58" s="80">
        <v>4</v>
      </c>
      <c r="E58" s="194">
        <v>7175</v>
      </c>
      <c r="F58" s="194">
        <f t="shared" si="10"/>
        <v>28700</v>
      </c>
      <c r="G58" s="3">
        <v>2000</v>
      </c>
      <c r="H58" s="3">
        <f t="shared" si="11"/>
        <v>8000</v>
      </c>
      <c r="I58" s="199">
        <v>2549</v>
      </c>
      <c r="J58" s="199">
        <f t="shared" si="12"/>
        <v>10196</v>
      </c>
      <c r="K58" s="200">
        <f t="shared" si="13"/>
        <v>2274.5</v>
      </c>
      <c r="L58" s="200">
        <f t="shared" si="14"/>
        <v>9098</v>
      </c>
    </row>
    <row r="59" spans="1:12" x14ac:dyDescent="0.25">
      <c r="A59" s="1">
        <v>6</v>
      </c>
      <c r="B59" s="92" t="s">
        <v>264</v>
      </c>
      <c r="C59" s="1" t="s">
        <v>56</v>
      </c>
      <c r="D59" s="80">
        <v>2</v>
      </c>
      <c r="E59" s="194">
        <v>7945</v>
      </c>
      <c r="F59" s="194">
        <f t="shared" si="10"/>
        <v>15890</v>
      </c>
      <c r="G59" s="3">
        <v>2500</v>
      </c>
      <c r="H59" s="3">
        <f t="shared" si="11"/>
        <v>5000</v>
      </c>
      <c r="I59" s="199">
        <v>2849</v>
      </c>
      <c r="J59" s="199">
        <f t="shared" si="12"/>
        <v>5698</v>
      </c>
      <c r="K59" s="200">
        <f t="shared" si="13"/>
        <v>2674.5</v>
      </c>
      <c r="L59" s="200">
        <f t="shared" si="14"/>
        <v>5349</v>
      </c>
    </row>
    <row r="60" spans="1:12" x14ac:dyDescent="0.25">
      <c r="A60" s="1">
        <v>7</v>
      </c>
      <c r="B60" s="88" t="s">
        <v>265</v>
      </c>
      <c r="C60" s="1" t="s">
        <v>56</v>
      </c>
      <c r="D60" s="80">
        <v>2</v>
      </c>
      <c r="E60" s="194">
        <v>794.64</v>
      </c>
      <c r="F60" s="194">
        <f t="shared" si="10"/>
        <v>1589.28</v>
      </c>
      <c r="G60" s="3">
        <v>180</v>
      </c>
      <c r="H60" s="3">
        <f t="shared" si="11"/>
        <v>360</v>
      </c>
      <c r="I60" s="199">
        <v>139.9</v>
      </c>
      <c r="J60" s="199">
        <f t="shared" si="12"/>
        <v>279.8</v>
      </c>
      <c r="K60" s="200">
        <f t="shared" si="13"/>
        <v>159.94999999999999</v>
      </c>
      <c r="L60" s="200">
        <f t="shared" si="14"/>
        <v>319.89999999999998</v>
      </c>
    </row>
    <row r="61" spans="1:12" x14ac:dyDescent="0.25">
      <c r="A61" s="1">
        <v>8</v>
      </c>
      <c r="B61" s="88" t="s">
        <v>266</v>
      </c>
      <c r="C61" s="1" t="s">
        <v>56</v>
      </c>
      <c r="D61" s="80">
        <v>1</v>
      </c>
      <c r="E61" s="194">
        <v>2746.56</v>
      </c>
      <c r="F61" s="194">
        <f t="shared" si="10"/>
        <v>2746.56</v>
      </c>
      <c r="G61" s="3">
        <v>800</v>
      </c>
      <c r="H61" s="3">
        <f t="shared" si="11"/>
        <v>800</v>
      </c>
      <c r="I61" s="199">
        <v>969.9</v>
      </c>
      <c r="J61" s="199">
        <f t="shared" si="12"/>
        <v>969.9</v>
      </c>
      <c r="K61" s="200">
        <f t="shared" si="13"/>
        <v>884.95</v>
      </c>
      <c r="L61" s="200">
        <f t="shared" si="14"/>
        <v>884.95</v>
      </c>
    </row>
    <row r="62" spans="1:12" ht="25.5" x14ac:dyDescent="0.25">
      <c r="A62" s="1">
        <v>9</v>
      </c>
      <c r="B62" s="88" t="s">
        <v>267</v>
      </c>
      <c r="C62" s="1" t="s">
        <v>56</v>
      </c>
      <c r="D62" s="80">
        <v>4</v>
      </c>
      <c r="E62" s="194">
        <v>177.73</v>
      </c>
      <c r="F62" s="194">
        <f t="shared" si="10"/>
        <v>710.92</v>
      </c>
      <c r="G62" s="3">
        <v>200</v>
      </c>
      <c r="H62" s="3">
        <f t="shared" si="11"/>
        <v>800</v>
      </c>
      <c r="I62" s="199">
        <v>375.31</v>
      </c>
      <c r="J62" s="199">
        <f t="shared" si="12"/>
        <v>1501.24</v>
      </c>
      <c r="K62" s="200">
        <f>AVERAGE(E62,G62,I62)</f>
        <v>251.01333333333332</v>
      </c>
      <c r="L62" s="200">
        <f t="shared" si="14"/>
        <v>1004.0533333333333</v>
      </c>
    </row>
    <row r="63" spans="1:12" ht="38.25" customHeight="1" x14ac:dyDescent="0.25">
      <c r="A63" s="1">
        <v>10</v>
      </c>
      <c r="B63" s="88" t="s">
        <v>268</v>
      </c>
      <c r="C63" s="1" t="s">
        <v>56</v>
      </c>
      <c r="D63" s="80">
        <v>1</v>
      </c>
      <c r="E63" s="194">
        <v>24654.67</v>
      </c>
      <c r="F63" s="194">
        <f t="shared" si="10"/>
        <v>24654.67</v>
      </c>
      <c r="G63" s="3">
        <v>6500</v>
      </c>
      <c r="H63" s="3">
        <f t="shared" si="11"/>
        <v>6500</v>
      </c>
      <c r="I63" s="199">
        <v>7155.44</v>
      </c>
      <c r="J63" s="199">
        <f t="shared" si="12"/>
        <v>7155.44</v>
      </c>
      <c r="K63" s="200">
        <f t="shared" ref="K63:K64" si="15">AVERAGE(G63,I63)</f>
        <v>6827.7199999999993</v>
      </c>
      <c r="L63" s="200">
        <f t="shared" si="14"/>
        <v>6827.7199999999993</v>
      </c>
    </row>
    <row r="64" spans="1:12" ht="25.5" x14ac:dyDescent="0.25">
      <c r="A64" s="1">
        <v>11</v>
      </c>
      <c r="B64" s="88" t="s">
        <v>271</v>
      </c>
      <c r="C64" s="1" t="s">
        <v>56</v>
      </c>
      <c r="D64" s="80">
        <v>1</v>
      </c>
      <c r="E64" s="194">
        <v>7979.65</v>
      </c>
      <c r="F64" s="194">
        <f t="shared" si="10"/>
        <v>7979.65</v>
      </c>
      <c r="G64" s="3">
        <v>2000</v>
      </c>
      <c r="H64" s="3">
        <f t="shared" si="11"/>
        <v>2000</v>
      </c>
      <c r="I64" s="199">
        <v>2399.9899999999998</v>
      </c>
      <c r="J64" s="199">
        <f t="shared" si="12"/>
        <v>2399.9899999999998</v>
      </c>
      <c r="K64" s="200">
        <f t="shared" si="15"/>
        <v>2199.9949999999999</v>
      </c>
      <c r="L64" s="200">
        <f t="shared" si="14"/>
        <v>2199.9949999999999</v>
      </c>
    </row>
    <row r="65" spans="1:12" ht="51" x14ac:dyDescent="0.25">
      <c r="A65" s="1">
        <v>12</v>
      </c>
      <c r="B65" s="6" t="s">
        <v>270</v>
      </c>
      <c r="C65" s="1" t="s">
        <v>56</v>
      </c>
      <c r="D65" s="80">
        <v>5</v>
      </c>
      <c r="E65" s="194">
        <v>212.1</v>
      </c>
      <c r="F65" s="194">
        <f t="shared" si="10"/>
        <v>1060.5</v>
      </c>
      <c r="G65" s="3">
        <v>200</v>
      </c>
      <c r="H65" s="3">
        <f t="shared" si="11"/>
        <v>1000</v>
      </c>
      <c r="I65" s="199">
        <v>79.900000000000006</v>
      </c>
      <c r="J65" s="199">
        <f t="shared" si="12"/>
        <v>399.5</v>
      </c>
      <c r="K65" s="200">
        <f>AVERAGE(E65,G65,I65)</f>
        <v>164</v>
      </c>
      <c r="L65" s="200">
        <f t="shared" si="14"/>
        <v>820</v>
      </c>
    </row>
    <row r="66" spans="1:12" x14ac:dyDescent="0.25">
      <c r="A66" s="1">
        <v>13</v>
      </c>
      <c r="B66" s="6" t="s">
        <v>519</v>
      </c>
      <c r="C66" s="1" t="s">
        <v>56</v>
      </c>
      <c r="D66" s="80">
        <v>1</v>
      </c>
      <c r="E66" s="194">
        <v>2894.5</v>
      </c>
      <c r="F66" s="194">
        <f t="shared" si="10"/>
        <v>2894.5</v>
      </c>
      <c r="G66" s="3">
        <v>600</v>
      </c>
      <c r="H66" s="3">
        <f t="shared" si="11"/>
        <v>600</v>
      </c>
      <c r="I66" s="199">
        <v>699.9</v>
      </c>
      <c r="J66" s="201">
        <f t="shared" si="12"/>
        <v>699.9</v>
      </c>
      <c r="K66" s="200">
        <f>AVERAGE(G66,I66)</f>
        <v>649.95000000000005</v>
      </c>
      <c r="L66" s="200">
        <f t="shared" si="14"/>
        <v>649.95000000000005</v>
      </c>
    </row>
    <row r="67" spans="1:12" ht="15" customHeight="1" x14ac:dyDescent="0.25">
      <c r="A67" s="546" t="s">
        <v>41</v>
      </c>
      <c r="B67" s="547"/>
      <c r="C67" s="547"/>
      <c r="D67" s="548"/>
      <c r="E67" s="6"/>
      <c r="F67" s="213"/>
      <c r="G67" s="6"/>
      <c r="H67" s="4"/>
      <c r="I67" s="7"/>
      <c r="J67" s="202"/>
      <c r="K67" s="7"/>
      <c r="L67" s="200">
        <f>SUM(L54:L66)</f>
        <v>36066.568333333336</v>
      </c>
    </row>
    <row r="68" spans="1:12" ht="15" customHeight="1" x14ac:dyDescent="0.25">
      <c r="A68" s="546" t="s">
        <v>269</v>
      </c>
      <c r="B68" s="547"/>
      <c r="C68" s="547"/>
      <c r="D68" s="548"/>
      <c r="E68" s="6"/>
      <c r="F68" s="6"/>
      <c r="G68" s="6"/>
      <c r="H68" s="4"/>
      <c r="I68" s="7"/>
      <c r="J68" s="202"/>
      <c r="K68" s="7"/>
      <c r="L68" s="200">
        <f>SUM(N9,L25,L50,L67)</f>
        <v>49869.968333333338</v>
      </c>
    </row>
    <row r="69" spans="1:12" x14ac:dyDescent="0.25">
      <c r="A69" s="605" t="s">
        <v>559</v>
      </c>
      <c r="B69" s="606"/>
      <c r="C69" s="606"/>
      <c r="D69" s="607"/>
      <c r="E69" s="215"/>
      <c r="F69" s="215"/>
      <c r="G69" s="215"/>
      <c r="H69" s="4"/>
      <c r="I69" s="7"/>
      <c r="J69" s="202"/>
      <c r="K69" s="7"/>
      <c r="L69" s="200">
        <f>L68/12/31</f>
        <v>134.05905465949823</v>
      </c>
    </row>
    <row r="70" spans="1:12" ht="15.75" x14ac:dyDescent="0.25">
      <c r="A70" s="91"/>
    </row>
  </sheetData>
  <mergeCells count="49">
    <mergeCell ref="A69:D69"/>
    <mergeCell ref="I27:J27"/>
    <mergeCell ref="I52:J52"/>
    <mergeCell ref="I11:J11"/>
    <mergeCell ref="I5:J5"/>
    <mergeCell ref="A51:H51"/>
    <mergeCell ref="A25:G25"/>
    <mergeCell ref="G52:H52"/>
    <mergeCell ref="A52:A53"/>
    <mergeCell ref="B52:B53"/>
    <mergeCell ref="C52:C53"/>
    <mergeCell ref="D52:D53"/>
    <mergeCell ref="E27:F27"/>
    <mergeCell ref="A50:D50"/>
    <mergeCell ref="E52:F52"/>
    <mergeCell ref="A27:A28"/>
    <mergeCell ref="A11:A12"/>
    <mergeCell ref="B11:B12"/>
    <mergeCell ref="I4:J4"/>
    <mergeCell ref="B9:G9"/>
    <mergeCell ref="C11:C12"/>
    <mergeCell ref="D11:D12"/>
    <mergeCell ref="G11:H11"/>
    <mergeCell ref="A4:D4"/>
    <mergeCell ref="G4:H4"/>
    <mergeCell ref="E4:F4"/>
    <mergeCell ref="E5:F5"/>
    <mergeCell ref="E11:F11"/>
    <mergeCell ref="K27:L27"/>
    <mergeCell ref="K52:L52"/>
    <mergeCell ref="A67:D67"/>
    <mergeCell ref="A68:D68"/>
    <mergeCell ref="A1:H1"/>
    <mergeCell ref="A26:H26"/>
    <mergeCell ref="A10:H10"/>
    <mergeCell ref="A5:A6"/>
    <mergeCell ref="B5:B6"/>
    <mergeCell ref="C5:C6"/>
    <mergeCell ref="D5:D6"/>
    <mergeCell ref="G5:H5"/>
    <mergeCell ref="B27:B28"/>
    <mergeCell ref="C27:C28"/>
    <mergeCell ref="D27:D28"/>
    <mergeCell ref="G27:H27"/>
    <mergeCell ref="M4:N4"/>
    <mergeCell ref="M5:N5"/>
    <mergeCell ref="K4:L4"/>
    <mergeCell ref="K5:L5"/>
    <mergeCell ref="K11:L11"/>
  </mergeCells>
  <phoneticPr fontId="49" type="noConversion"/>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1"/>
  <sheetViews>
    <sheetView zoomScale="130" zoomScaleNormal="130" workbookViewId="0">
      <selection activeCell="D19" sqref="A8:D19"/>
    </sheetView>
  </sheetViews>
  <sheetFormatPr defaultRowHeight="15" x14ac:dyDescent="0.25"/>
  <cols>
    <col min="1" max="1" width="6.140625" customWidth="1"/>
    <col min="2" max="2" width="27.42578125" customWidth="1"/>
    <col min="3" max="3" width="17.140625" customWidth="1"/>
    <col min="4" max="4" width="18.28515625" bestFit="1" customWidth="1"/>
    <col min="7" max="7" width="12.5703125" bestFit="1" customWidth="1"/>
  </cols>
  <sheetData>
    <row r="1" spans="1:4" x14ac:dyDescent="0.25">
      <c r="A1" s="528" t="s">
        <v>0</v>
      </c>
      <c r="B1" s="528"/>
      <c r="C1" s="528"/>
      <c r="D1" s="528"/>
    </row>
    <row r="2" spans="1:4" x14ac:dyDescent="0.25">
      <c r="A2" s="529" t="s">
        <v>1</v>
      </c>
      <c r="B2" s="529"/>
      <c r="C2" s="529"/>
      <c r="D2" s="529"/>
    </row>
    <row r="3" spans="1:4" x14ac:dyDescent="0.25">
      <c r="A3" s="529" t="s">
        <v>2</v>
      </c>
      <c r="B3" s="529"/>
      <c r="C3" s="529"/>
      <c r="D3" s="529"/>
    </row>
    <row r="4" spans="1:4" ht="15" customHeight="1" x14ac:dyDescent="0.25">
      <c r="A4" s="530" t="s">
        <v>3</v>
      </c>
      <c r="B4" s="530"/>
      <c r="C4" s="530"/>
      <c r="D4" s="530"/>
    </row>
    <row r="5" spans="1:4" ht="17.100000000000001" customHeight="1" x14ac:dyDescent="0.25">
      <c r="A5" s="530" t="s">
        <v>4</v>
      </c>
      <c r="B5" s="530"/>
      <c r="C5" s="530"/>
      <c r="D5" s="530"/>
    </row>
    <row r="6" spans="1:4" x14ac:dyDescent="0.25">
      <c r="A6" s="612"/>
      <c r="B6" s="612"/>
      <c r="C6" s="612"/>
      <c r="D6" s="612"/>
    </row>
    <row r="7" spans="1:4" x14ac:dyDescent="0.25">
      <c r="A7" s="613"/>
      <c r="B7" s="613"/>
      <c r="C7" s="613"/>
      <c r="D7" s="613"/>
    </row>
    <row r="8" spans="1:4" ht="19.5" customHeight="1" x14ac:dyDescent="0.25">
      <c r="A8" s="616" t="s">
        <v>508</v>
      </c>
      <c r="B8" s="616"/>
      <c r="C8" s="616"/>
      <c r="D8" s="616"/>
    </row>
    <row r="9" spans="1:4" ht="18.95" customHeight="1" x14ac:dyDescent="0.25">
      <c r="A9" s="615" t="s">
        <v>5</v>
      </c>
      <c r="B9" s="614" t="s">
        <v>221</v>
      </c>
      <c r="C9" s="614" t="s">
        <v>9</v>
      </c>
      <c r="D9" s="614"/>
    </row>
    <row r="10" spans="1:4" ht="15" customHeight="1" x14ac:dyDescent="0.25">
      <c r="A10" s="615"/>
      <c r="B10" s="614"/>
      <c r="C10" s="162" t="s">
        <v>503</v>
      </c>
      <c r="D10" s="162" t="s">
        <v>36</v>
      </c>
    </row>
    <row r="11" spans="1:4" ht="15" customHeight="1" x14ac:dyDescent="0.25">
      <c r="A11" s="163" t="s">
        <v>505</v>
      </c>
      <c r="B11" s="164" t="s">
        <v>504</v>
      </c>
      <c r="C11" s="164"/>
      <c r="D11" s="164"/>
    </row>
    <row r="12" spans="1:4" x14ac:dyDescent="0.25">
      <c r="A12" s="163" t="s">
        <v>506</v>
      </c>
      <c r="B12" s="165" t="s">
        <v>510</v>
      </c>
      <c r="C12" s="166">
        <f>'Valor MO Mensal, m²'!F58</f>
        <v>188346.51104774923</v>
      </c>
      <c r="D12" s="166">
        <f>C12*12</f>
        <v>2260158.1325729908</v>
      </c>
    </row>
    <row r="13" spans="1:4" ht="15" customHeight="1" x14ac:dyDescent="0.25">
      <c r="A13" s="163" t="s">
        <v>507</v>
      </c>
      <c r="B13" s="167" t="s">
        <v>511</v>
      </c>
      <c r="C13" s="168">
        <f>'Valor MO Mensal, m²'!F64</f>
        <v>31044.190223637743</v>
      </c>
      <c r="D13" s="166">
        <f>C13*12</f>
        <v>372530.28268365294</v>
      </c>
    </row>
    <row r="14" spans="1:4" x14ac:dyDescent="0.25">
      <c r="A14" s="163"/>
      <c r="B14" s="169" t="s">
        <v>515</v>
      </c>
      <c r="C14" s="166">
        <f>SUM(C12:C13)</f>
        <v>219390.70127138696</v>
      </c>
      <c r="D14" s="166">
        <f>C14*12</f>
        <v>2632688.4152566437</v>
      </c>
    </row>
    <row r="15" spans="1:4" x14ac:dyDescent="0.25">
      <c r="A15" s="170" t="s">
        <v>509</v>
      </c>
      <c r="B15" s="171" t="s">
        <v>512</v>
      </c>
      <c r="C15" s="172">
        <f>'Material Cons Mensal Anual '!N149</f>
        <v>140037.54597222226</v>
      </c>
      <c r="D15" s="172">
        <f>C15*12</f>
        <v>1680450.5516666672</v>
      </c>
    </row>
    <row r="16" spans="1:4" x14ac:dyDescent="0.25">
      <c r="A16" s="543"/>
      <c r="B16" s="543"/>
      <c r="C16" s="543"/>
      <c r="D16" s="543"/>
    </row>
    <row r="17" spans="1:7" ht="18.600000000000001" customHeight="1" x14ac:dyDescent="0.25">
      <c r="A17" s="611" t="s">
        <v>513</v>
      </c>
      <c r="B17" s="611"/>
      <c r="C17" s="173">
        <f>C14+C15</f>
        <v>359428.24724360922</v>
      </c>
      <c r="D17" s="174"/>
      <c r="F17" s="87" t="s">
        <v>217</v>
      </c>
    </row>
    <row r="18" spans="1:7" ht="19.5" customHeight="1" x14ac:dyDescent="0.25">
      <c r="A18" s="610" t="s">
        <v>514</v>
      </c>
      <c r="B18" s="610"/>
      <c r="C18" s="610"/>
      <c r="D18" s="235">
        <f>D14+D15</f>
        <v>4313138.9669233114</v>
      </c>
    </row>
    <row r="19" spans="1:7" ht="15.75" x14ac:dyDescent="0.25">
      <c r="A19" s="610" t="s">
        <v>593</v>
      </c>
      <c r="B19" s="610"/>
      <c r="C19" s="610"/>
      <c r="D19" s="235">
        <f>C15+C17*24</f>
        <v>8766315.4798188433</v>
      </c>
    </row>
    <row r="21" spans="1:7" x14ac:dyDescent="0.25">
      <c r="D21" s="222"/>
      <c r="G21" s="175"/>
    </row>
  </sheetData>
  <mergeCells count="14">
    <mergeCell ref="A19:C19"/>
    <mergeCell ref="A17:B17"/>
    <mergeCell ref="A16:D16"/>
    <mergeCell ref="A18:C18"/>
    <mergeCell ref="A1:D1"/>
    <mergeCell ref="A2:D2"/>
    <mergeCell ref="A3:D3"/>
    <mergeCell ref="A4:D4"/>
    <mergeCell ref="A5:D5"/>
    <mergeCell ref="A6:D7"/>
    <mergeCell ref="C9:D9"/>
    <mergeCell ref="B9:B10"/>
    <mergeCell ref="A9:A10"/>
    <mergeCell ref="A8:D8"/>
  </mergeCells>
  <pageMargins left="0.511811024" right="0.511811024" top="0.78740157499999996" bottom="0.78740157499999996" header="0.31496062000000002" footer="0.31496062000000002"/>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58"/>
  <sheetViews>
    <sheetView topLeftCell="A55" zoomScale="130" zoomScaleNormal="130" workbookViewId="0">
      <selection activeCell="H63" sqref="H63"/>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45831.471022685182</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41.25" customHeight="1" x14ac:dyDescent="0.25">
      <c r="A24" s="343" t="s">
        <v>101</v>
      </c>
      <c r="B24" s="343"/>
      <c r="C24" s="343"/>
      <c r="D24" s="343"/>
      <c r="E24" s="9" t="s">
        <v>102</v>
      </c>
      <c r="F24" s="344" t="s">
        <v>103</v>
      </c>
      <c r="G24" s="345"/>
    </row>
    <row r="25" spans="1:7" ht="15.75" x14ac:dyDescent="0.25">
      <c r="A25" s="333" t="s">
        <v>218</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Servente de Limpeza</v>
      </c>
      <c r="G32" s="277"/>
    </row>
    <row r="33" spans="1:7" x14ac:dyDescent="0.25">
      <c r="A33" s="12">
        <v>2</v>
      </c>
      <c r="B33" s="288" t="s">
        <v>111</v>
      </c>
      <c r="C33" s="289"/>
      <c r="D33" s="289"/>
      <c r="E33" s="290"/>
      <c r="F33" s="275" t="s">
        <v>219</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Servente de Limpeza</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f>((5.5)*2*21)-6%*G46</f>
        <v>126.37860000000001</v>
      </c>
    </row>
    <row r="77" spans="1:7" ht="30" customHeight="1" x14ac:dyDescent="0.25">
      <c r="A77" s="12" t="s">
        <v>93</v>
      </c>
      <c r="B77" s="278" t="s">
        <v>613</v>
      </c>
      <c r="C77" s="278"/>
      <c r="D77" s="278"/>
      <c r="E77" s="278"/>
      <c r="F77" s="278"/>
      <c r="G77" s="26">
        <f>44.3*21</f>
        <v>930.3</v>
      </c>
    </row>
    <row r="78" spans="1:7" x14ac:dyDescent="0.25">
      <c r="A78" s="12" t="s">
        <v>96</v>
      </c>
      <c r="B78" s="364" t="s">
        <v>616</v>
      </c>
      <c r="C78" s="278"/>
      <c r="D78" s="278"/>
      <c r="E78" s="278"/>
      <c r="F78" s="278"/>
      <c r="G78" s="26">
        <v>0</v>
      </c>
    </row>
    <row r="79" spans="1:7" x14ac:dyDescent="0.25">
      <c r="A79" s="12" t="s">
        <v>98</v>
      </c>
      <c r="B79" s="364" t="s">
        <v>620</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625</v>
      </c>
      <c r="C81" s="364"/>
      <c r="D81" s="364"/>
      <c r="E81" s="364"/>
      <c r="F81" s="364"/>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88" t="s">
        <v>595</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Categoria'!O59</f>
        <v>104.58924242424244</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104.58924242424244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124.64568759727636</v>
      </c>
    </row>
    <row r="141" spans="1:7" x14ac:dyDescent="0.25">
      <c r="A141" s="12" t="s">
        <v>93</v>
      </c>
      <c r="B141" s="278" t="s">
        <v>193</v>
      </c>
      <c r="C141" s="278"/>
      <c r="D141" s="278"/>
      <c r="E141" s="279">
        <v>0.05</v>
      </c>
      <c r="F141" s="280"/>
      <c r="G141" s="67">
        <f>(G47+G91+G101+G127+G135+G140)*E141</f>
        <v>130.87797197714016</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179.48839684781382</v>
      </c>
    </row>
    <row r="144" spans="1:7" x14ac:dyDescent="0.25">
      <c r="A144" s="71"/>
      <c r="B144" s="278" t="s">
        <v>196</v>
      </c>
      <c r="C144" s="278"/>
      <c r="D144" s="278"/>
      <c r="E144" s="279">
        <v>0.05</v>
      </c>
      <c r="F144" s="280"/>
      <c r="G144" s="67">
        <f>E144*G158</f>
        <v>245.87451622988198</v>
      </c>
    </row>
    <row r="145" spans="1:7" x14ac:dyDescent="0.25">
      <c r="A145" s="29"/>
      <c r="B145" s="281" t="s">
        <v>54</v>
      </c>
      <c r="C145" s="282"/>
      <c r="D145" s="283"/>
      <c r="E145" s="284">
        <f>E140+E141+E142</f>
        <v>0.1865</v>
      </c>
      <c r="F145" s="283"/>
      <c r="G145" s="72">
        <f>SUM(G140:G144)</f>
        <v>680.88657265211236</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104.58924242424244</v>
      </c>
    </row>
    <row r="156" spans="1:7" x14ac:dyDescent="0.25">
      <c r="A156" s="75"/>
      <c r="B156" s="266" t="s">
        <v>207</v>
      </c>
      <c r="C156" s="267"/>
      <c r="D156" s="267"/>
      <c r="E156" s="267"/>
      <c r="F156" s="268"/>
      <c r="G156" s="74">
        <f>SUM(G151:G155)</f>
        <v>4236.6037519455267</v>
      </c>
    </row>
    <row r="157" spans="1:7" x14ac:dyDescent="0.25">
      <c r="A157" s="76" t="s">
        <v>122</v>
      </c>
      <c r="B157" s="260" t="s">
        <v>208</v>
      </c>
      <c r="C157" s="261"/>
      <c r="D157" s="261"/>
      <c r="E157" s="261"/>
      <c r="F157" s="262"/>
      <c r="G157" s="74">
        <f>G145</f>
        <v>680.88657265211236</v>
      </c>
    </row>
    <row r="158" spans="1:7" x14ac:dyDescent="0.25">
      <c r="A158" s="77"/>
      <c r="B158" s="263" t="s">
        <v>209</v>
      </c>
      <c r="C158" s="264"/>
      <c r="D158" s="264"/>
      <c r="E158" s="264"/>
      <c r="F158" s="265"/>
      <c r="G158" s="78">
        <f>(G140+G141+G156)/(1-8.65/100)</f>
        <v>4917.4903245976393</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D4423-EACE-410E-B74B-EFE6B21EDFCA}">
  <dimension ref="A2:G158"/>
  <sheetViews>
    <sheetView topLeftCell="A57" zoomScale="130" zoomScaleNormal="130" workbookViewId="0">
      <selection activeCell="F63" sqref="F63"/>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45831.471022685182</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41.25" customHeight="1" x14ac:dyDescent="0.25">
      <c r="A24" s="343" t="s">
        <v>101</v>
      </c>
      <c r="B24" s="343"/>
      <c r="C24" s="343"/>
      <c r="D24" s="343"/>
      <c r="E24" s="9" t="s">
        <v>102</v>
      </c>
      <c r="F24" s="344" t="s">
        <v>103</v>
      </c>
      <c r="G24" s="345"/>
    </row>
    <row r="25" spans="1:7" ht="15.75" x14ac:dyDescent="0.25">
      <c r="A25" s="333" t="s">
        <v>526</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ht="27.75" customHeight="1" x14ac:dyDescent="0.25">
      <c r="A32" s="12">
        <v>1</v>
      </c>
      <c r="B32" s="288" t="s">
        <v>110</v>
      </c>
      <c r="C32" s="289"/>
      <c r="D32" s="289"/>
      <c r="E32" s="290"/>
      <c r="F32" s="275" t="str">
        <f>A25</f>
        <v>Agente de Higienização de Banheiros</v>
      </c>
      <c r="G32" s="277"/>
    </row>
    <row r="33" spans="1:7" x14ac:dyDescent="0.25">
      <c r="A33" s="12">
        <v>2</v>
      </c>
      <c r="B33" s="288" t="s">
        <v>111</v>
      </c>
      <c r="C33" s="289"/>
      <c r="D33" s="289"/>
      <c r="E33" s="290"/>
      <c r="F33" s="275" t="s">
        <v>219</v>
      </c>
      <c r="G33" s="277"/>
    </row>
    <row r="34" spans="1:7" x14ac:dyDescent="0.25">
      <c r="A34" s="13">
        <v>3</v>
      </c>
      <c r="B34" s="326" t="s">
        <v>521</v>
      </c>
      <c r="C34" s="327"/>
      <c r="D34" s="327"/>
      <c r="E34" s="328"/>
      <c r="F34" s="329">
        <v>1743.69</v>
      </c>
      <c r="G34" s="330"/>
    </row>
    <row r="35" spans="1:7" ht="24" customHeight="1" x14ac:dyDescent="0.25">
      <c r="A35" s="12">
        <v>4</v>
      </c>
      <c r="B35" s="288" t="s">
        <v>112</v>
      </c>
      <c r="C35" s="289"/>
      <c r="D35" s="289"/>
      <c r="E35" s="290"/>
      <c r="F35" s="275" t="str">
        <f>A25</f>
        <v>Agente de Higienização de Banheiros</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0.4</v>
      </c>
      <c r="G42" s="26">
        <f>1518*F42</f>
        <v>607.20000000000005</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1.4</v>
      </c>
      <c r="G46" s="22">
        <f>SUM(G40:G45)</f>
        <v>2350.8900000000003</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195.82913700000003</v>
      </c>
    </row>
    <row r="53" spans="1:7" x14ac:dyDescent="0.25">
      <c r="A53" s="12" t="s">
        <v>93</v>
      </c>
      <c r="B53" s="288" t="s">
        <v>131</v>
      </c>
      <c r="C53" s="289"/>
      <c r="D53" s="289"/>
      <c r="E53" s="290"/>
      <c r="F53" s="31">
        <f>8.33%+(8.33%*1/3)</f>
        <v>0.11106666666666666</v>
      </c>
      <c r="G53" s="26">
        <f>F53*G46</f>
        <v>261.10551600000002</v>
      </c>
    </row>
    <row r="54" spans="1:7" x14ac:dyDescent="0.25">
      <c r="A54" s="29"/>
      <c r="B54" s="281" t="s">
        <v>54</v>
      </c>
      <c r="C54" s="282"/>
      <c r="D54" s="282"/>
      <c r="E54" s="283"/>
      <c r="F54" s="32">
        <f>SUM(F52:F53)</f>
        <v>0.19436666666666666</v>
      </c>
      <c r="G54" s="22">
        <f>SUM(G52:G53)</f>
        <v>456.93465300000003</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576.49569420000012</v>
      </c>
    </row>
    <row r="62" spans="1:7" x14ac:dyDescent="0.25">
      <c r="A62" s="12" t="s">
        <v>93</v>
      </c>
      <c r="B62" s="288" t="s">
        <v>139</v>
      </c>
      <c r="C62" s="289"/>
      <c r="D62" s="289"/>
      <c r="E62" s="290"/>
      <c r="F62" s="37">
        <v>2.5000000000000001E-2</v>
      </c>
      <c r="G62" s="38">
        <f>F62*(G46+G54+G127)</f>
        <v>72.061961775000015</v>
      </c>
    </row>
    <row r="63" spans="1:7" x14ac:dyDescent="0.25">
      <c r="A63" s="12" t="s">
        <v>96</v>
      </c>
      <c r="B63" s="288" t="s">
        <v>140</v>
      </c>
      <c r="C63" s="289"/>
      <c r="D63" s="289"/>
      <c r="E63" s="290"/>
      <c r="F63" s="37">
        <v>0.03</v>
      </c>
      <c r="G63" s="38">
        <f>F63*(G46+G54+G127)</f>
        <v>86.474354130000009</v>
      </c>
    </row>
    <row r="64" spans="1:7" x14ac:dyDescent="0.25">
      <c r="A64" s="12" t="s">
        <v>98</v>
      </c>
      <c r="B64" s="288" t="s">
        <v>141</v>
      </c>
      <c r="C64" s="289"/>
      <c r="D64" s="289"/>
      <c r="E64" s="290"/>
      <c r="F64" s="37">
        <v>1.4999999999999999E-2</v>
      </c>
      <c r="G64" s="38">
        <f>F64*(G46+G54+G127)</f>
        <v>43.237177065000004</v>
      </c>
    </row>
    <row r="65" spans="1:7" x14ac:dyDescent="0.25">
      <c r="A65" s="12" t="s">
        <v>120</v>
      </c>
      <c r="B65" s="288" t="s">
        <v>142</v>
      </c>
      <c r="C65" s="289"/>
      <c r="D65" s="289"/>
      <c r="E65" s="290"/>
      <c r="F65" s="37">
        <v>0.01</v>
      </c>
      <c r="G65" s="38">
        <f>F65*(G46+G54+G127)</f>
        <v>28.824784710000003</v>
      </c>
    </row>
    <row r="66" spans="1:7" x14ac:dyDescent="0.25">
      <c r="A66" s="12" t="s">
        <v>122</v>
      </c>
      <c r="B66" s="288" t="s">
        <v>143</v>
      </c>
      <c r="C66" s="289"/>
      <c r="D66" s="289"/>
      <c r="E66" s="290"/>
      <c r="F66" s="37">
        <v>6.0000000000000001E-3</v>
      </c>
      <c r="G66" s="38">
        <f>F66*(G46+G54+G127)</f>
        <v>17.294870826000004</v>
      </c>
    </row>
    <row r="67" spans="1:7" x14ac:dyDescent="0.25">
      <c r="A67" s="12" t="s">
        <v>144</v>
      </c>
      <c r="B67" s="288" t="s">
        <v>145</v>
      </c>
      <c r="C67" s="289"/>
      <c r="D67" s="289"/>
      <c r="E67" s="290"/>
      <c r="F67" s="37">
        <v>2E-3</v>
      </c>
      <c r="G67" s="38">
        <f>F67*(G46+G54+G127)</f>
        <v>5.7649569420000004</v>
      </c>
    </row>
    <row r="68" spans="1:7" x14ac:dyDescent="0.25">
      <c r="A68" s="12" t="s">
        <v>146</v>
      </c>
      <c r="B68" s="288" t="s">
        <v>147</v>
      </c>
      <c r="C68" s="289"/>
      <c r="D68" s="289"/>
      <c r="E68" s="290"/>
      <c r="F68" s="37">
        <v>0.08</v>
      </c>
      <c r="G68" s="38">
        <f>F68*(G46+G54+G127)</f>
        <v>230.59827768000002</v>
      </c>
    </row>
    <row r="69" spans="1:7" x14ac:dyDescent="0.25">
      <c r="A69" s="29"/>
      <c r="B69" s="281" t="s">
        <v>54</v>
      </c>
      <c r="C69" s="282"/>
      <c r="D69" s="282"/>
      <c r="E69" s="283"/>
      <c r="F69" s="32">
        <f>SUM(F61:F68)</f>
        <v>0.36800000000000005</v>
      </c>
      <c r="G69" s="39">
        <f>SUM(G61:G68)</f>
        <v>1060.7520773280003</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f>((5.5)*2*21)-6%*G46</f>
        <v>89.946599999999989</v>
      </c>
    </row>
    <row r="77" spans="1:7" ht="30" customHeight="1" x14ac:dyDescent="0.25">
      <c r="A77" s="12" t="s">
        <v>93</v>
      </c>
      <c r="B77" s="278" t="s">
        <v>613</v>
      </c>
      <c r="C77" s="278"/>
      <c r="D77" s="278"/>
      <c r="E77" s="278"/>
      <c r="F77" s="278"/>
      <c r="G77" s="26">
        <f>44.3*21</f>
        <v>930.3</v>
      </c>
    </row>
    <row r="78" spans="1:7" x14ac:dyDescent="0.25">
      <c r="A78" s="12" t="s">
        <v>96</v>
      </c>
      <c r="B78" s="364" t="s">
        <v>617</v>
      </c>
      <c r="C78" s="278"/>
      <c r="D78" s="278"/>
      <c r="E78" s="278"/>
      <c r="F78" s="278"/>
      <c r="G78" s="26">
        <v>0</v>
      </c>
    </row>
    <row r="79" spans="1:7" x14ac:dyDescent="0.25">
      <c r="A79" s="12" t="s">
        <v>98</v>
      </c>
      <c r="B79" s="364" t="s">
        <v>621</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625</v>
      </c>
      <c r="C81" s="364"/>
      <c r="D81" s="364"/>
      <c r="E81" s="364"/>
      <c r="F81" s="364"/>
      <c r="G81" s="26">
        <v>0</v>
      </c>
    </row>
    <row r="82" spans="1:7" x14ac:dyDescent="0.25">
      <c r="A82" s="27"/>
      <c r="B82" s="281" t="s">
        <v>54</v>
      </c>
      <c r="C82" s="282"/>
      <c r="D82" s="282"/>
      <c r="E82" s="282"/>
      <c r="F82" s="283"/>
      <c r="G82" s="22">
        <f>SUM(G76:G81)</f>
        <v>1020.2465999999999</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456.93465300000003</v>
      </c>
    </row>
    <row r="89" spans="1:7" x14ac:dyDescent="0.25">
      <c r="A89" s="12" t="s">
        <v>135</v>
      </c>
      <c r="B89" s="278" t="s">
        <v>136</v>
      </c>
      <c r="C89" s="278"/>
      <c r="D89" s="278"/>
      <c r="E89" s="278"/>
      <c r="F89" s="278"/>
      <c r="G89" s="26">
        <f>G69</f>
        <v>1060.7520773280003</v>
      </c>
    </row>
    <row r="90" spans="1:7" x14ac:dyDescent="0.25">
      <c r="A90" s="12" t="s">
        <v>152</v>
      </c>
      <c r="B90" s="278" t="s">
        <v>153</v>
      </c>
      <c r="C90" s="278"/>
      <c r="D90" s="278"/>
      <c r="E90" s="278"/>
      <c r="F90" s="278"/>
      <c r="G90" s="26">
        <f>G82</f>
        <v>1020.2465999999999</v>
      </c>
    </row>
    <row r="91" spans="1:7" x14ac:dyDescent="0.25">
      <c r="A91" s="45"/>
      <c r="B91" s="308" t="s">
        <v>54</v>
      </c>
      <c r="C91" s="309"/>
      <c r="D91" s="309"/>
      <c r="E91" s="309"/>
      <c r="F91" s="310"/>
      <c r="G91" s="22">
        <f>SUM(G88:G90)</f>
        <v>2537.933330328</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11.708628803010003</v>
      </c>
    </row>
    <row r="96" spans="1:7" ht="21" customHeight="1" x14ac:dyDescent="0.25">
      <c r="A96" s="9" t="s">
        <v>93</v>
      </c>
      <c r="B96" s="288" t="s">
        <v>163</v>
      </c>
      <c r="C96" s="289"/>
      <c r="D96" s="289"/>
      <c r="E96" s="290"/>
      <c r="F96" s="47">
        <f>F68*F95</f>
        <v>3.3360000000000003E-4</v>
      </c>
      <c r="G96" s="26">
        <f>F96*(G46+G54)</f>
        <v>0.93669030424080024</v>
      </c>
    </row>
    <row r="97" spans="1:7" ht="49.5" customHeight="1" x14ac:dyDescent="0.25">
      <c r="A97" s="12" t="s">
        <v>96</v>
      </c>
      <c r="B97" s="288" t="s">
        <v>596</v>
      </c>
      <c r="C97" s="289"/>
      <c r="D97" s="289"/>
      <c r="E97" s="290"/>
      <c r="F97" s="47">
        <f>40%*8%*90%*(1+8.33%+9.09%+3.03%)</f>
        <v>3.4689600000000001E-2</v>
      </c>
      <c r="G97" s="26">
        <f>F97*(G46+G54)</f>
        <v>97.402314082708827</v>
      </c>
    </row>
    <row r="98" spans="1:7" ht="48" customHeight="1" x14ac:dyDescent="0.25">
      <c r="A98" s="12" t="s">
        <v>98</v>
      </c>
      <c r="B98" s="288" t="s">
        <v>164</v>
      </c>
      <c r="C98" s="289"/>
      <c r="D98" s="289"/>
      <c r="E98" s="290"/>
      <c r="F98" s="47">
        <f>(7/30)/12</f>
        <v>1.9444444444444445E-2</v>
      </c>
      <c r="G98" s="26">
        <f>F98*(G46+G54)</f>
        <v>54.596590475000013</v>
      </c>
    </row>
    <row r="99" spans="1:7" ht="39" customHeight="1" x14ac:dyDescent="0.25">
      <c r="A99" s="13" t="s">
        <v>120</v>
      </c>
      <c r="B99" s="305" t="s">
        <v>215</v>
      </c>
      <c r="C99" s="306"/>
      <c r="D99" s="306"/>
      <c r="E99" s="307"/>
      <c r="F99" s="48">
        <f>F69*F98</f>
        <v>7.1555555555555565E-3</v>
      </c>
      <c r="G99" s="49">
        <f>F99*(G46+G54)</f>
        <v>20.091545294800007</v>
      </c>
    </row>
    <row r="100" spans="1:7" ht="29.25" customHeight="1" x14ac:dyDescent="0.25">
      <c r="A100" s="12" t="s">
        <v>122</v>
      </c>
      <c r="B100" s="288" t="s">
        <v>214</v>
      </c>
      <c r="C100" s="289"/>
      <c r="D100" s="289"/>
      <c r="E100" s="290"/>
      <c r="F100" s="31">
        <f>40%*F98</f>
        <v>7.7777777777777784E-3</v>
      </c>
      <c r="G100" s="26">
        <f>F100*G46</f>
        <v>18.284700000000004</v>
      </c>
    </row>
    <row r="101" spans="1:7" x14ac:dyDescent="0.25">
      <c r="A101" s="50"/>
      <c r="B101" s="300" t="s">
        <v>54</v>
      </c>
      <c r="C101" s="301"/>
      <c r="D101" s="301"/>
      <c r="E101" s="302"/>
      <c r="F101" s="51">
        <f>SUM(F95:F100)</f>
        <v>7.3570977777777768E-2</v>
      </c>
      <c r="G101" s="22">
        <f>SUM(G95:G100)</f>
        <v>203.02046895975965</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21.758793000000001</v>
      </c>
    </row>
    <row r="109" spans="1:7" x14ac:dyDescent="0.25">
      <c r="A109" s="12" t="s">
        <v>93</v>
      </c>
      <c r="B109" s="288" t="s">
        <v>171</v>
      </c>
      <c r="C109" s="289"/>
      <c r="D109" s="289"/>
      <c r="E109" s="289"/>
      <c r="F109" s="31">
        <f>(1/12)/30</f>
        <v>2.7777777777777775E-3</v>
      </c>
      <c r="G109" s="26">
        <f>F109*G46</f>
        <v>6.5302500000000006</v>
      </c>
    </row>
    <row r="110" spans="1:7" x14ac:dyDescent="0.25">
      <c r="A110" s="12" t="s">
        <v>96</v>
      </c>
      <c r="B110" s="288" t="s">
        <v>172</v>
      </c>
      <c r="C110" s="289"/>
      <c r="D110" s="289"/>
      <c r="E110" s="289"/>
      <c r="F110" s="55">
        <f>1.5%/12</f>
        <v>1.25E-3</v>
      </c>
      <c r="G110" s="26">
        <f>F110*G46</f>
        <v>2.9386125000000005</v>
      </c>
    </row>
    <row r="111" spans="1:7" ht="33" customHeight="1" x14ac:dyDescent="0.25">
      <c r="A111" s="12" t="s">
        <v>98</v>
      </c>
      <c r="B111" s="288" t="s">
        <v>173</v>
      </c>
      <c r="C111" s="289"/>
      <c r="D111" s="289"/>
      <c r="E111" s="289"/>
      <c r="F111" s="47">
        <f>8%/12/2</f>
        <v>3.3333333333333335E-3</v>
      </c>
      <c r="G111" s="26">
        <f>F111*G46</f>
        <v>7.8363000000000014</v>
      </c>
    </row>
    <row r="112" spans="1:7" ht="28.5" customHeight="1" x14ac:dyDescent="0.25">
      <c r="A112" s="12" t="s">
        <v>120</v>
      </c>
      <c r="B112" s="288" t="s">
        <v>174</v>
      </c>
      <c r="C112" s="289"/>
      <c r="D112" s="289"/>
      <c r="E112" s="289"/>
      <c r="F112" s="56">
        <f>1.5%/12</f>
        <v>1.25E-3</v>
      </c>
      <c r="G112" s="26">
        <f>F112*G46</f>
        <v>2.9386125000000005</v>
      </c>
    </row>
    <row r="113" spans="1:7" x14ac:dyDescent="0.25">
      <c r="A113" s="12" t="s">
        <v>122</v>
      </c>
      <c r="B113" s="288" t="s">
        <v>175</v>
      </c>
      <c r="C113" s="289"/>
      <c r="D113" s="289"/>
      <c r="E113" s="289"/>
      <c r="F113" s="31">
        <f>(5/12)/30</f>
        <v>1.388888888888889E-2</v>
      </c>
      <c r="G113" s="26">
        <f>F113*G46</f>
        <v>32.651250000000005</v>
      </c>
    </row>
    <row r="114" spans="1:7" x14ac:dyDescent="0.25">
      <c r="A114" s="50"/>
      <c r="B114" s="281" t="s">
        <v>54</v>
      </c>
      <c r="C114" s="282"/>
      <c r="D114" s="282"/>
      <c r="E114" s="283"/>
      <c r="F114" s="57">
        <f>SUM(F108:F113)</f>
        <v>3.1755555555555558E-2</v>
      </c>
      <c r="G114" s="22">
        <f>SUM(G108:G113)</f>
        <v>74.653818000000001</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74.653818000000001</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74.653818000000001</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Categoria'!O59</f>
        <v>104.58924242424244</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104.58924242424244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146.0098429856001</v>
      </c>
    </row>
    <row r="141" spans="1:7" x14ac:dyDescent="0.25">
      <c r="A141" s="12" t="s">
        <v>93</v>
      </c>
      <c r="B141" s="278" t="s">
        <v>193</v>
      </c>
      <c r="C141" s="278"/>
      <c r="D141" s="278"/>
      <c r="E141" s="279">
        <v>0.05</v>
      </c>
      <c r="F141" s="280"/>
      <c r="G141" s="67">
        <f>(G47+G91+G101+G127+G135+G140)*E141</f>
        <v>153.31033513488009</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222.57236659100772</v>
      </c>
    </row>
    <row r="144" spans="1:7" x14ac:dyDescent="0.25">
      <c r="A144" s="71"/>
      <c r="B144" s="278" t="s">
        <v>196</v>
      </c>
      <c r="C144" s="278"/>
      <c r="D144" s="278"/>
      <c r="E144" s="279">
        <v>0.05</v>
      </c>
      <c r="F144" s="280"/>
      <c r="G144" s="67">
        <f>E144*G158</f>
        <v>304.89365286439414</v>
      </c>
    </row>
    <row r="145" spans="1:7" x14ac:dyDescent="0.25">
      <c r="A145" s="29"/>
      <c r="B145" s="281" t="s">
        <v>54</v>
      </c>
      <c r="C145" s="282"/>
      <c r="D145" s="283"/>
      <c r="E145" s="284">
        <f>E140+E141+E142</f>
        <v>0.1865</v>
      </c>
      <c r="F145" s="283"/>
      <c r="G145" s="72">
        <f>SUM(G140:G144)</f>
        <v>826.78619757588217</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2350.8900000000003</v>
      </c>
    </row>
    <row r="152" spans="1:7" x14ac:dyDescent="0.25">
      <c r="A152" s="12" t="s">
        <v>93</v>
      </c>
      <c r="B152" s="260" t="s">
        <v>203</v>
      </c>
      <c r="C152" s="261"/>
      <c r="D152" s="261"/>
      <c r="E152" s="261"/>
      <c r="F152" s="262"/>
      <c r="G152" s="74">
        <f>G91</f>
        <v>2537.933330328</v>
      </c>
    </row>
    <row r="153" spans="1:7" x14ac:dyDescent="0.25">
      <c r="A153" s="12" t="s">
        <v>96</v>
      </c>
      <c r="B153" s="260" t="s">
        <v>204</v>
      </c>
      <c r="C153" s="261"/>
      <c r="D153" s="261"/>
      <c r="E153" s="261"/>
      <c r="F153" s="262"/>
      <c r="G153" s="74">
        <f>G101</f>
        <v>203.02046895975965</v>
      </c>
    </row>
    <row r="154" spans="1:7" x14ac:dyDescent="0.25">
      <c r="A154" s="12" t="s">
        <v>98</v>
      </c>
      <c r="B154" s="260" t="s">
        <v>205</v>
      </c>
      <c r="C154" s="261"/>
      <c r="D154" s="261"/>
      <c r="E154" s="261"/>
      <c r="F154" s="262"/>
      <c r="G154" s="74">
        <f>G127</f>
        <v>74.653818000000001</v>
      </c>
    </row>
    <row r="155" spans="1:7" x14ac:dyDescent="0.25">
      <c r="A155" s="12" t="s">
        <v>120</v>
      </c>
      <c r="B155" s="260" t="s">
        <v>206</v>
      </c>
      <c r="C155" s="261"/>
      <c r="D155" s="261"/>
      <c r="E155" s="261"/>
      <c r="F155" s="262"/>
      <c r="G155" s="74">
        <f>G135</f>
        <v>104.58924242424244</v>
      </c>
    </row>
    <row r="156" spans="1:7" x14ac:dyDescent="0.25">
      <c r="A156" s="75"/>
      <c r="B156" s="266" t="s">
        <v>207</v>
      </c>
      <c r="C156" s="267"/>
      <c r="D156" s="267"/>
      <c r="E156" s="267"/>
      <c r="F156" s="268"/>
      <c r="G156" s="74">
        <f>SUM(G151:G155)</f>
        <v>5271.0868597120016</v>
      </c>
    </row>
    <row r="157" spans="1:7" x14ac:dyDescent="0.25">
      <c r="A157" s="76" t="s">
        <v>122</v>
      </c>
      <c r="B157" s="260" t="s">
        <v>208</v>
      </c>
      <c r="C157" s="261"/>
      <c r="D157" s="261"/>
      <c r="E157" s="261"/>
      <c r="F157" s="262"/>
      <c r="G157" s="74">
        <f>G145</f>
        <v>826.78619757588217</v>
      </c>
    </row>
    <row r="158" spans="1:7" x14ac:dyDescent="0.25">
      <c r="A158" s="77"/>
      <c r="B158" s="263" t="s">
        <v>209</v>
      </c>
      <c r="C158" s="264"/>
      <c r="D158" s="264"/>
      <c r="E158" s="264"/>
      <c r="F158" s="265"/>
      <c r="G158" s="78">
        <f>(G140+G141+G156)/(1-8.65/100)</f>
        <v>6097.8730572878831</v>
      </c>
    </row>
  </sheetData>
  <mergeCells count="166">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34:F134"/>
    <mergeCell ref="B135:F135"/>
    <mergeCell ref="A136:G136"/>
    <mergeCell ref="B138:F138"/>
    <mergeCell ref="B139:D139"/>
    <mergeCell ref="E139:F139"/>
    <mergeCell ref="B127:E127"/>
    <mergeCell ref="B129:F129"/>
    <mergeCell ref="B130:F130"/>
    <mergeCell ref="B131:F131"/>
    <mergeCell ref="B132:F132"/>
    <mergeCell ref="B133:F133"/>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09:E109"/>
    <mergeCell ref="B110:E110"/>
    <mergeCell ref="B111:E111"/>
    <mergeCell ref="B112:E112"/>
    <mergeCell ref="B113:E113"/>
    <mergeCell ref="B114:E114"/>
    <mergeCell ref="B103:E103"/>
    <mergeCell ref="A104:G104"/>
    <mergeCell ref="A105:G105"/>
    <mergeCell ref="A106:G106"/>
    <mergeCell ref="B107:E107"/>
    <mergeCell ref="B108:E108"/>
    <mergeCell ref="B96:E96"/>
    <mergeCell ref="B97:E97"/>
    <mergeCell ref="B98:E98"/>
    <mergeCell ref="B99:E99"/>
    <mergeCell ref="B100:E100"/>
    <mergeCell ref="B101:E101"/>
    <mergeCell ref="B90:F90"/>
    <mergeCell ref="B91:F91"/>
    <mergeCell ref="A92:G92"/>
    <mergeCell ref="B93:E93"/>
    <mergeCell ref="B94:E94"/>
    <mergeCell ref="B95:E95"/>
    <mergeCell ref="A83:G83"/>
    <mergeCell ref="A84:G84"/>
    <mergeCell ref="B86:F86"/>
    <mergeCell ref="B87:F87"/>
    <mergeCell ref="B88:F88"/>
    <mergeCell ref="B89:F89"/>
    <mergeCell ref="B77:F77"/>
    <mergeCell ref="B78:F78"/>
    <mergeCell ref="B79:F79"/>
    <mergeCell ref="B80:F80"/>
    <mergeCell ref="B81:F81"/>
    <mergeCell ref="B82:F82"/>
    <mergeCell ref="A70:G70"/>
    <mergeCell ref="A71:G71"/>
    <mergeCell ref="A72:G72"/>
    <mergeCell ref="A74:G74"/>
    <mergeCell ref="B75:F75"/>
    <mergeCell ref="B76:F76"/>
    <mergeCell ref="B64:E64"/>
    <mergeCell ref="B65:E65"/>
    <mergeCell ref="B66:E66"/>
    <mergeCell ref="B67:E67"/>
    <mergeCell ref="B68:E68"/>
    <mergeCell ref="B69:E69"/>
    <mergeCell ref="A57:G57"/>
    <mergeCell ref="A59:G59"/>
    <mergeCell ref="B60:E60"/>
    <mergeCell ref="B61:E61"/>
    <mergeCell ref="B62:E62"/>
    <mergeCell ref="B63:E63"/>
    <mergeCell ref="B51:F51"/>
    <mergeCell ref="B52:E52"/>
    <mergeCell ref="B53:E53"/>
    <mergeCell ref="B54:E54"/>
    <mergeCell ref="A55:G55"/>
    <mergeCell ref="A56:G56"/>
    <mergeCell ref="B45:E45"/>
    <mergeCell ref="B46:E46"/>
    <mergeCell ref="A47:G47"/>
    <mergeCell ref="A48:G48"/>
    <mergeCell ref="B49:E49"/>
    <mergeCell ref="A50:G50"/>
    <mergeCell ref="B39:E39"/>
    <mergeCell ref="B40:E40"/>
    <mergeCell ref="B41:E41"/>
    <mergeCell ref="B42:E42"/>
    <mergeCell ref="B43:E43"/>
    <mergeCell ref="B44:E44"/>
    <mergeCell ref="B35:E35"/>
    <mergeCell ref="F35:G35"/>
    <mergeCell ref="B36:E36"/>
    <mergeCell ref="F36:G36"/>
    <mergeCell ref="A37:G37"/>
    <mergeCell ref="B38:E38"/>
    <mergeCell ref="A31:G31"/>
    <mergeCell ref="B32:E32"/>
    <mergeCell ref="F32:G32"/>
    <mergeCell ref="B33:E33"/>
    <mergeCell ref="F33:G33"/>
    <mergeCell ref="B34:E34"/>
    <mergeCell ref="F34:G34"/>
    <mergeCell ref="A25:D25"/>
    <mergeCell ref="F25:G25"/>
    <mergeCell ref="A26:G26"/>
    <mergeCell ref="A27:G27"/>
    <mergeCell ref="A29:G29"/>
    <mergeCell ref="A30:G30"/>
    <mergeCell ref="B20:E20"/>
    <mergeCell ref="F20:G20"/>
    <mergeCell ref="B21:E21"/>
    <mergeCell ref="F21:G21"/>
    <mergeCell ref="A23:G23"/>
    <mergeCell ref="A24:D24"/>
    <mergeCell ref="F24:G24"/>
    <mergeCell ref="B18:E18"/>
    <mergeCell ref="F18:G18"/>
    <mergeCell ref="B19:E19"/>
    <mergeCell ref="F19:G19"/>
    <mergeCell ref="A8:G8"/>
    <mergeCell ref="A9:G9"/>
    <mergeCell ref="A10:G10"/>
    <mergeCell ref="A11:G11"/>
    <mergeCell ref="A13:G13"/>
    <mergeCell ref="A14:G14"/>
    <mergeCell ref="A2:G2"/>
    <mergeCell ref="A3:G3"/>
    <mergeCell ref="A4:G4"/>
    <mergeCell ref="A5:G5"/>
    <mergeCell ref="A6:G6"/>
    <mergeCell ref="A7:G7"/>
    <mergeCell ref="A15:G15"/>
    <mergeCell ref="A16:G16"/>
    <mergeCell ref="A17:G17"/>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G158"/>
  <sheetViews>
    <sheetView topLeftCell="A47" zoomScale="130" zoomScaleNormal="130" workbookViewId="0">
      <selection activeCell="F63" sqref="F63"/>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45831.471022685182</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x14ac:dyDescent="0.25">
      <c r="A24" s="343" t="s">
        <v>101</v>
      </c>
      <c r="B24" s="343"/>
      <c r="C24" s="343"/>
      <c r="D24" s="343"/>
      <c r="E24" s="9" t="s">
        <v>102</v>
      </c>
      <c r="F24" s="344" t="s">
        <v>103</v>
      </c>
      <c r="G24" s="345"/>
    </row>
    <row r="25" spans="1:7" ht="15.75" x14ac:dyDescent="0.25">
      <c r="A25" s="333" t="s">
        <v>52</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Jardineiro</v>
      </c>
      <c r="G32" s="277"/>
    </row>
    <row r="33" spans="1:7" x14ac:dyDescent="0.25">
      <c r="A33" s="12">
        <v>2</v>
      </c>
      <c r="B33" s="288" t="s">
        <v>111</v>
      </c>
      <c r="C33" s="289"/>
      <c r="D33" s="289"/>
      <c r="E33" s="290"/>
      <c r="F33" s="275" t="s">
        <v>281</v>
      </c>
      <c r="G33" s="277"/>
    </row>
    <row r="34" spans="1:7" x14ac:dyDescent="0.25">
      <c r="A34" s="13">
        <v>3</v>
      </c>
      <c r="B34" s="326" t="s">
        <v>521</v>
      </c>
      <c r="C34" s="327"/>
      <c r="D34" s="327"/>
      <c r="E34" s="328"/>
      <c r="F34" s="329">
        <v>2574.37</v>
      </c>
      <c r="G34" s="330"/>
    </row>
    <row r="35" spans="1:7" x14ac:dyDescent="0.25">
      <c r="A35" s="12">
        <v>4</v>
      </c>
      <c r="B35" s="288" t="s">
        <v>112</v>
      </c>
      <c r="C35" s="289"/>
      <c r="D35" s="289"/>
      <c r="E35" s="290"/>
      <c r="F35" s="275" t="str">
        <f>A25</f>
        <v>Jardineiro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566</v>
      </c>
      <c r="C40" s="289"/>
      <c r="D40" s="289"/>
      <c r="E40" s="290"/>
      <c r="F40" s="21">
        <v>1</v>
      </c>
      <c r="G40" s="22">
        <f>F34</f>
        <v>2574.37</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2574.37</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214.445021</v>
      </c>
    </row>
    <row r="53" spans="1:7" x14ac:dyDescent="0.25">
      <c r="A53" s="12" t="s">
        <v>93</v>
      </c>
      <c r="B53" s="288" t="s">
        <v>131</v>
      </c>
      <c r="C53" s="289"/>
      <c r="D53" s="289"/>
      <c r="E53" s="290"/>
      <c r="F53" s="31">
        <f>8.33%+(8.33%*1/3)</f>
        <v>0.11106666666666666</v>
      </c>
      <c r="G53" s="26">
        <f>F53*G46</f>
        <v>285.92669466666666</v>
      </c>
    </row>
    <row r="54" spans="1:7" x14ac:dyDescent="0.25">
      <c r="A54" s="29"/>
      <c r="B54" s="281" t="s">
        <v>54</v>
      </c>
      <c r="C54" s="282"/>
      <c r="D54" s="282"/>
      <c r="E54" s="283"/>
      <c r="F54" s="32">
        <f>SUM(F52:F53)</f>
        <v>0.19436666666666666</v>
      </c>
      <c r="G54" s="22">
        <f>SUM(G52:G53)</f>
        <v>500.37171566666666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631.2984530444445</v>
      </c>
    </row>
    <row r="62" spans="1:7" x14ac:dyDescent="0.25">
      <c r="A62" s="12" t="s">
        <v>93</v>
      </c>
      <c r="B62" s="288" t="s">
        <v>139</v>
      </c>
      <c r="C62" s="289"/>
      <c r="D62" s="289"/>
      <c r="E62" s="290"/>
      <c r="F62" s="37">
        <v>2.5000000000000001E-2</v>
      </c>
      <c r="G62" s="38">
        <f>F62*(G46+G54+G127)</f>
        <v>78.912306630555562</v>
      </c>
    </row>
    <row r="63" spans="1:7" x14ac:dyDescent="0.25">
      <c r="A63" s="12" t="s">
        <v>96</v>
      </c>
      <c r="B63" s="288" t="s">
        <v>140</v>
      </c>
      <c r="C63" s="289"/>
      <c r="D63" s="289"/>
      <c r="E63" s="290"/>
      <c r="F63" s="37">
        <v>0.03</v>
      </c>
      <c r="G63" s="38">
        <f>F63*(G46+G54+G127)</f>
        <v>94.694767956666666</v>
      </c>
    </row>
    <row r="64" spans="1:7" x14ac:dyDescent="0.25">
      <c r="A64" s="12" t="s">
        <v>98</v>
      </c>
      <c r="B64" s="288" t="s">
        <v>141</v>
      </c>
      <c r="C64" s="289"/>
      <c r="D64" s="289"/>
      <c r="E64" s="290"/>
      <c r="F64" s="37">
        <v>1.4999999999999999E-2</v>
      </c>
      <c r="G64" s="38">
        <f>F64*(G46+G54+G127)</f>
        <v>47.347383978333333</v>
      </c>
    </row>
    <row r="65" spans="1:7" x14ac:dyDescent="0.25">
      <c r="A65" s="12" t="s">
        <v>120</v>
      </c>
      <c r="B65" s="288" t="s">
        <v>142</v>
      </c>
      <c r="C65" s="289"/>
      <c r="D65" s="289"/>
      <c r="E65" s="290"/>
      <c r="F65" s="37">
        <v>0.01</v>
      </c>
      <c r="G65" s="38">
        <f>F65*(G46+G54+G127)</f>
        <v>31.564922652222222</v>
      </c>
    </row>
    <row r="66" spans="1:7" x14ac:dyDescent="0.25">
      <c r="A66" s="12" t="s">
        <v>122</v>
      </c>
      <c r="B66" s="288" t="s">
        <v>143</v>
      </c>
      <c r="C66" s="289"/>
      <c r="D66" s="289"/>
      <c r="E66" s="290"/>
      <c r="F66" s="37">
        <v>6.0000000000000001E-3</v>
      </c>
      <c r="G66" s="38">
        <f>F66*(G46+G54+G127)</f>
        <v>18.938953591333334</v>
      </c>
    </row>
    <row r="67" spans="1:7" x14ac:dyDescent="0.25">
      <c r="A67" s="12" t="s">
        <v>144</v>
      </c>
      <c r="B67" s="288" t="s">
        <v>145</v>
      </c>
      <c r="C67" s="289"/>
      <c r="D67" s="289"/>
      <c r="E67" s="290"/>
      <c r="F67" s="37">
        <v>2E-3</v>
      </c>
      <c r="G67" s="38">
        <f>F67*(G46+G54+G127)</f>
        <v>6.3129845304444441</v>
      </c>
    </row>
    <row r="68" spans="1:7" x14ac:dyDescent="0.25">
      <c r="A68" s="12" t="s">
        <v>146</v>
      </c>
      <c r="B68" s="288" t="s">
        <v>147</v>
      </c>
      <c r="C68" s="289"/>
      <c r="D68" s="289"/>
      <c r="E68" s="290"/>
      <c r="F68" s="37">
        <v>0.08</v>
      </c>
      <c r="G68" s="38">
        <f>F68*(G46+G54+G127)</f>
        <v>252.51938121777778</v>
      </c>
    </row>
    <row r="69" spans="1:7" x14ac:dyDescent="0.25">
      <c r="A69" s="29"/>
      <c r="B69" s="281" t="s">
        <v>54</v>
      </c>
      <c r="C69" s="282"/>
      <c r="D69" s="282"/>
      <c r="E69" s="283"/>
      <c r="F69" s="32">
        <f>SUM(F61:F68)</f>
        <v>0.36800000000000005</v>
      </c>
      <c r="G69" s="39">
        <f>SUM(G61:G68)</f>
        <v>1161.5891536017778</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610</v>
      </c>
      <c r="C76" s="278"/>
      <c r="D76" s="278"/>
      <c r="E76" s="278"/>
      <c r="F76" s="278"/>
      <c r="G76" s="26">
        <f>((5.5)*2*21.5)-6%*G46</f>
        <v>82.037800000000004</v>
      </c>
    </row>
    <row r="77" spans="1:7" ht="30" customHeight="1" x14ac:dyDescent="0.25">
      <c r="A77" s="12" t="s">
        <v>93</v>
      </c>
      <c r="B77" s="278" t="s">
        <v>613</v>
      </c>
      <c r="C77" s="278"/>
      <c r="D77" s="278"/>
      <c r="E77" s="278"/>
      <c r="F77" s="278"/>
      <c r="G77" s="26">
        <f>44.3*21</f>
        <v>930.3</v>
      </c>
    </row>
    <row r="78" spans="1:7" x14ac:dyDescent="0.25">
      <c r="A78" s="12" t="s">
        <v>96</v>
      </c>
      <c r="B78" s="315" t="s">
        <v>618</v>
      </c>
      <c r="C78" s="316"/>
      <c r="D78" s="316"/>
      <c r="E78" s="316"/>
      <c r="F78" s="316"/>
      <c r="G78" s="26">
        <v>0</v>
      </c>
    </row>
    <row r="79" spans="1:7" x14ac:dyDescent="0.25">
      <c r="A79" s="12" t="s">
        <v>98</v>
      </c>
      <c r="B79" s="315" t="s">
        <v>556</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624</v>
      </c>
      <c r="C81" s="315"/>
      <c r="D81" s="315"/>
      <c r="E81" s="315"/>
      <c r="F81" s="315"/>
      <c r="G81" s="26">
        <v>0</v>
      </c>
    </row>
    <row r="82" spans="1:7" x14ac:dyDescent="0.25">
      <c r="A82" s="27"/>
      <c r="B82" s="281" t="s">
        <v>54</v>
      </c>
      <c r="C82" s="282"/>
      <c r="D82" s="282"/>
      <c r="E82" s="282"/>
      <c r="F82" s="283"/>
      <c r="G82" s="22">
        <f>SUM(G76:G81)</f>
        <v>1012.3378</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500.37171566666666</v>
      </c>
    </row>
    <row r="89" spans="1:7" x14ac:dyDescent="0.25">
      <c r="A89" s="12" t="s">
        <v>135</v>
      </c>
      <c r="B89" s="278" t="s">
        <v>136</v>
      </c>
      <c r="C89" s="278"/>
      <c r="D89" s="278"/>
      <c r="E89" s="278"/>
      <c r="F89" s="278"/>
      <c r="G89" s="26">
        <f>G69</f>
        <v>1161.5891536017778</v>
      </c>
    </row>
    <row r="90" spans="1:7" x14ac:dyDescent="0.25">
      <c r="A90" s="12" t="s">
        <v>152</v>
      </c>
      <c r="B90" s="278" t="s">
        <v>153</v>
      </c>
      <c r="C90" s="278"/>
      <c r="D90" s="278"/>
      <c r="E90" s="278"/>
      <c r="F90" s="278"/>
      <c r="G90" s="26">
        <f>G82</f>
        <v>1012.3378</v>
      </c>
    </row>
    <row r="91" spans="1:7" x14ac:dyDescent="0.25">
      <c r="A91" s="45"/>
      <c r="B91" s="308" t="s">
        <v>54</v>
      </c>
      <c r="C91" s="309"/>
      <c r="D91" s="309"/>
      <c r="E91" s="309"/>
      <c r="F91" s="310"/>
      <c r="G91" s="22">
        <f>SUM(G88:G90)</f>
        <v>2674.2986692684444</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12.821672954329999</v>
      </c>
    </row>
    <row r="96" spans="1:7" ht="21" customHeight="1" x14ac:dyDescent="0.25">
      <c r="A96" s="9" t="s">
        <v>93</v>
      </c>
      <c r="B96" s="288" t="s">
        <v>163</v>
      </c>
      <c r="C96" s="289"/>
      <c r="D96" s="289"/>
      <c r="E96" s="290"/>
      <c r="F96" s="47">
        <f>F68*F95</f>
        <v>3.3360000000000003E-4</v>
      </c>
      <c r="G96" s="26">
        <f>F96*(G46+G54)</f>
        <v>1.0257338363464001</v>
      </c>
    </row>
    <row r="97" spans="1:7" ht="58.5" customHeight="1" x14ac:dyDescent="0.25">
      <c r="A97" s="12" t="s">
        <v>96</v>
      </c>
      <c r="B97" s="288" t="s">
        <v>598</v>
      </c>
      <c r="C97" s="289"/>
      <c r="D97" s="289"/>
      <c r="E97" s="290"/>
      <c r="F97" s="47">
        <f>40%*8%*90%*(1+8.33%+9.09%+3.03%)</f>
        <v>3.4689600000000001E-2</v>
      </c>
      <c r="G97" s="26">
        <f>F97*(G46+G54)</f>
        <v>106.6615602197904</v>
      </c>
    </row>
    <row r="98" spans="1:7" ht="48" customHeight="1" x14ac:dyDescent="0.25">
      <c r="A98" s="12" t="s">
        <v>98</v>
      </c>
      <c r="B98" s="288" t="s">
        <v>164</v>
      </c>
      <c r="C98" s="289"/>
      <c r="D98" s="289"/>
      <c r="E98" s="290"/>
      <c r="F98" s="47">
        <f>(7/30)/12</f>
        <v>1.9444444444444445E-2</v>
      </c>
      <c r="G98" s="26">
        <f>F98*(G46+G54)</f>
        <v>59.786644471296292</v>
      </c>
    </row>
    <row r="99" spans="1:7" ht="39" customHeight="1" x14ac:dyDescent="0.25">
      <c r="A99" s="13" t="s">
        <v>120</v>
      </c>
      <c r="B99" s="305" t="s">
        <v>215</v>
      </c>
      <c r="C99" s="306"/>
      <c r="D99" s="306"/>
      <c r="E99" s="307"/>
      <c r="F99" s="48">
        <f>F69*F98</f>
        <v>7.1555555555555565E-3</v>
      </c>
      <c r="G99" s="49">
        <f>F99*(G46+G54)</f>
        <v>22.001485165437039</v>
      </c>
    </row>
    <row r="100" spans="1:7" ht="29.25" customHeight="1" x14ac:dyDescent="0.25">
      <c r="A100" s="12" t="s">
        <v>122</v>
      </c>
      <c r="B100" s="288" t="s">
        <v>214</v>
      </c>
      <c r="C100" s="289"/>
      <c r="D100" s="289"/>
      <c r="E100" s="290"/>
      <c r="F100" s="31">
        <f>40%*F98</f>
        <v>7.7777777777777784E-3</v>
      </c>
      <c r="G100" s="26">
        <f>F100*G46</f>
        <v>20.022877777777779</v>
      </c>
    </row>
    <row r="101" spans="1:7" x14ac:dyDescent="0.25">
      <c r="A101" s="50"/>
      <c r="B101" s="300" t="s">
        <v>54</v>
      </c>
      <c r="C101" s="301"/>
      <c r="D101" s="301"/>
      <c r="E101" s="302"/>
      <c r="F101" s="51">
        <f>SUM(F95:F100)</f>
        <v>7.3570977777777768E-2</v>
      </c>
      <c r="G101" s="22">
        <f>SUM(G95:G100)</f>
        <v>222.31997442497791</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23.827224555555553</v>
      </c>
    </row>
    <row r="109" spans="1:7" x14ac:dyDescent="0.25">
      <c r="A109" s="12" t="s">
        <v>93</v>
      </c>
      <c r="B109" s="288" t="s">
        <v>171</v>
      </c>
      <c r="C109" s="289"/>
      <c r="D109" s="289"/>
      <c r="E109" s="289"/>
      <c r="F109" s="31">
        <f>(1/12)/30</f>
        <v>2.7777777777777775E-3</v>
      </c>
      <c r="G109" s="26">
        <f>F109*G46</f>
        <v>7.1510277777777764</v>
      </c>
    </row>
    <row r="110" spans="1:7" x14ac:dyDescent="0.25">
      <c r="A110" s="12" t="s">
        <v>96</v>
      </c>
      <c r="B110" s="288" t="s">
        <v>172</v>
      </c>
      <c r="C110" s="289"/>
      <c r="D110" s="289"/>
      <c r="E110" s="289"/>
      <c r="F110" s="55">
        <f>1.5%/12</f>
        <v>1.25E-3</v>
      </c>
      <c r="G110" s="26">
        <f>F110*G46</f>
        <v>3.2179625000000001</v>
      </c>
    </row>
    <row r="111" spans="1:7" ht="33" customHeight="1" x14ac:dyDescent="0.25">
      <c r="A111" s="12" t="s">
        <v>98</v>
      </c>
      <c r="B111" s="288" t="s">
        <v>173</v>
      </c>
      <c r="C111" s="289"/>
      <c r="D111" s="289"/>
      <c r="E111" s="289"/>
      <c r="F111" s="47">
        <f>8%/12/2</f>
        <v>3.3333333333333335E-3</v>
      </c>
      <c r="G111" s="26">
        <f>F111*G46</f>
        <v>8.5812333333333335</v>
      </c>
    </row>
    <row r="112" spans="1:7" ht="28.5" customHeight="1" x14ac:dyDescent="0.25">
      <c r="A112" s="12" t="s">
        <v>120</v>
      </c>
      <c r="B112" s="288" t="s">
        <v>174</v>
      </c>
      <c r="C112" s="289"/>
      <c r="D112" s="289"/>
      <c r="E112" s="289"/>
      <c r="F112" s="56">
        <f>1.5%/12</f>
        <v>1.25E-3</v>
      </c>
      <c r="G112" s="26">
        <f>F112*G46</f>
        <v>3.2179625000000001</v>
      </c>
    </row>
    <row r="113" spans="1:7" x14ac:dyDescent="0.25">
      <c r="A113" s="12" t="s">
        <v>122</v>
      </c>
      <c r="B113" s="288" t="s">
        <v>175</v>
      </c>
      <c r="C113" s="289"/>
      <c r="D113" s="289"/>
      <c r="E113" s="289"/>
      <c r="F113" s="31">
        <f>(5/12)/30</f>
        <v>1.388888888888889E-2</v>
      </c>
      <c r="G113" s="26">
        <f>F113*G46</f>
        <v>35.755138888888887</v>
      </c>
    </row>
    <row r="114" spans="1:7" x14ac:dyDescent="0.25">
      <c r="A114" s="50"/>
      <c r="B114" s="281" t="s">
        <v>54</v>
      </c>
      <c r="C114" s="282"/>
      <c r="D114" s="282"/>
      <c r="E114" s="283"/>
      <c r="F114" s="57">
        <f>SUM(F108:F113)</f>
        <v>3.1755555555555558E-2</v>
      </c>
      <c r="G114" s="22">
        <f>SUM(G108:G113)</f>
        <v>81.750549555555551</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81.750549555555551</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81.750549555555551</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Categoria'!O32</f>
        <v>89.552083333333329</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89.552083333333329</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153.39606382911558</v>
      </c>
    </row>
    <row r="141" spans="1:7" x14ac:dyDescent="0.25">
      <c r="A141" s="12" t="s">
        <v>93</v>
      </c>
      <c r="B141" s="278" t="s">
        <v>193</v>
      </c>
      <c r="C141" s="278"/>
      <c r="D141" s="278"/>
      <c r="E141" s="279">
        <v>0.05</v>
      </c>
      <c r="F141" s="280"/>
      <c r="G141" s="67">
        <f>(G47+G91+G101+G127+G135+G140)*E141</f>
        <v>161.06586702057135</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238.00929619186414</v>
      </c>
    </row>
    <row r="144" spans="1:7" x14ac:dyDescent="0.25">
      <c r="A144" s="71"/>
      <c r="B144" s="278" t="s">
        <v>196</v>
      </c>
      <c r="C144" s="278"/>
      <c r="D144" s="278"/>
      <c r="E144" s="279">
        <v>0.05</v>
      </c>
      <c r="F144" s="280"/>
      <c r="G144" s="67">
        <f>E144*G158</f>
        <v>326.04013176967692</v>
      </c>
    </row>
    <row r="145" spans="1:7" x14ac:dyDescent="0.25">
      <c r="A145" s="29"/>
      <c r="B145" s="281" t="s">
        <v>54</v>
      </c>
      <c r="C145" s="282"/>
      <c r="D145" s="283"/>
      <c r="E145" s="284">
        <f>E140+E141+E142</f>
        <v>0.1865</v>
      </c>
      <c r="F145" s="283"/>
      <c r="G145" s="72">
        <f>SUM(G140:G144)</f>
        <v>878.51135881122798</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2574.37</v>
      </c>
    </row>
    <row r="152" spans="1:7" x14ac:dyDescent="0.25">
      <c r="A152" s="12" t="s">
        <v>93</v>
      </c>
      <c r="B152" s="260" t="s">
        <v>203</v>
      </c>
      <c r="C152" s="261"/>
      <c r="D152" s="261"/>
      <c r="E152" s="261"/>
      <c r="F152" s="262"/>
      <c r="G152" s="74">
        <f>G91</f>
        <v>2674.2986692684444</v>
      </c>
    </row>
    <row r="153" spans="1:7" x14ac:dyDescent="0.25">
      <c r="A153" s="12" t="s">
        <v>96</v>
      </c>
      <c r="B153" s="260" t="s">
        <v>204</v>
      </c>
      <c r="C153" s="261"/>
      <c r="D153" s="261"/>
      <c r="E153" s="261"/>
      <c r="F153" s="262"/>
      <c r="G153" s="74">
        <f>G101</f>
        <v>222.31997442497791</v>
      </c>
    </row>
    <row r="154" spans="1:7" x14ac:dyDescent="0.25">
      <c r="A154" s="12" t="s">
        <v>98</v>
      </c>
      <c r="B154" s="260" t="s">
        <v>205</v>
      </c>
      <c r="C154" s="261"/>
      <c r="D154" s="261"/>
      <c r="E154" s="261"/>
      <c r="F154" s="262"/>
      <c r="G154" s="74">
        <f>G127</f>
        <v>81.750549555555551</v>
      </c>
    </row>
    <row r="155" spans="1:7" x14ac:dyDescent="0.25">
      <c r="A155" s="12" t="s">
        <v>120</v>
      </c>
      <c r="B155" s="260" t="s">
        <v>206</v>
      </c>
      <c r="C155" s="261"/>
      <c r="D155" s="261"/>
      <c r="E155" s="261"/>
      <c r="F155" s="262"/>
      <c r="G155" s="74">
        <f>G135</f>
        <v>89.552083333333329</v>
      </c>
    </row>
    <row r="156" spans="1:7" x14ac:dyDescent="0.25">
      <c r="A156" s="75"/>
      <c r="B156" s="266" t="s">
        <v>207</v>
      </c>
      <c r="C156" s="267"/>
      <c r="D156" s="267"/>
      <c r="E156" s="267"/>
      <c r="F156" s="268"/>
      <c r="G156" s="74">
        <f>SUM(G151:G155)</f>
        <v>5642.2912765823103</v>
      </c>
    </row>
    <row r="157" spans="1:7" x14ac:dyDescent="0.25">
      <c r="A157" s="76" t="s">
        <v>122</v>
      </c>
      <c r="B157" s="260" t="s">
        <v>208</v>
      </c>
      <c r="C157" s="261"/>
      <c r="D157" s="261"/>
      <c r="E157" s="261"/>
      <c r="F157" s="262"/>
      <c r="G157" s="74">
        <f>G145</f>
        <v>878.51135881122798</v>
      </c>
    </row>
    <row r="158" spans="1:7" x14ac:dyDescent="0.25">
      <c r="A158" s="77"/>
      <c r="B158" s="263" t="s">
        <v>209</v>
      </c>
      <c r="C158" s="264"/>
      <c r="D158" s="264"/>
      <c r="E158" s="264"/>
      <c r="F158" s="265"/>
      <c r="G158" s="78">
        <f>(G140+G141+G156)/(1-8.65/100)</f>
        <v>6520.8026353935384</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158"/>
  <sheetViews>
    <sheetView tabSelected="1" topLeftCell="A63" zoomScale="130" zoomScaleNormal="130" workbookViewId="0">
      <selection activeCell="H65" sqref="H65"/>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628</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12" x14ac:dyDescent="0.25">
      <c r="A17" s="285" t="s">
        <v>90</v>
      </c>
      <c r="B17" s="274"/>
      <c r="C17" s="274"/>
      <c r="D17" s="274"/>
      <c r="E17" s="274"/>
      <c r="F17" s="274"/>
      <c r="G17" s="303"/>
    </row>
    <row r="18" spans="1:12" ht="15.75" x14ac:dyDescent="0.25">
      <c r="A18" s="12" t="s">
        <v>91</v>
      </c>
      <c r="B18" s="338" t="s">
        <v>92</v>
      </c>
      <c r="C18" s="339"/>
      <c r="D18" s="339"/>
      <c r="E18" s="340"/>
      <c r="F18" s="346">
        <f ca="1">NOW()</f>
        <v>45831.471022685182</v>
      </c>
      <c r="G18" s="347"/>
    </row>
    <row r="19" spans="1:12" x14ac:dyDescent="0.25">
      <c r="A19" s="12" t="s">
        <v>93</v>
      </c>
      <c r="B19" s="338" t="s">
        <v>94</v>
      </c>
      <c r="C19" s="339"/>
      <c r="D19" s="339"/>
      <c r="E19" s="340"/>
      <c r="F19" s="294" t="s">
        <v>95</v>
      </c>
      <c r="G19" s="296"/>
    </row>
    <row r="20" spans="1:12" ht="29.25" customHeight="1" x14ac:dyDescent="0.25">
      <c r="A20" s="13" t="s">
        <v>96</v>
      </c>
      <c r="B20" s="348" t="s">
        <v>97</v>
      </c>
      <c r="C20" s="349"/>
      <c r="D20" s="349"/>
      <c r="E20" s="350"/>
      <c r="F20" s="351" t="s">
        <v>516</v>
      </c>
      <c r="G20" s="352"/>
    </row>
    <row r="21" spans="1:12" ht="15.75" x14ac:dyDescent="0.25">
      <c r="A21" s="12" t="s">
        <v>98</v>
      </c>
      <c r="B21" s="338" t="s">
        <v>99</v>
      </c>
      <c r="C21" s="339"/>
      <c r="D21" s="339"/>
      <c r="E21" s="340"/>
      <c r="F21" s="341">
        <v>12</v>
      </c>
      <c r="G21" s="342"/>
    </row>
    <row r="22" spans="1:12" ht="15.75" thickBot="1" x14ac:dyDescent="0.3">
      <c r="A22" s="14"/>
      <c r="B22" s="14"/>
      <c r="C22" s="14"/>
      <c r="D22" s="14"/>
      <c r="E22" s="14"/>
      <c r="F22" s="14"/>
      <c r="G22" s="14"/>
    </row>
    <row r="23" spans="1:12" ht="16.5" thickBot="1" x14ac:dyDescent="0.3">
      <c r="A23" s="285" t="s">
        <v>100</v>
      </c>
      <c r="B23" s="274"/>
      <c r="C23" s="274"/>
      <c r="D23" s="274"/>
      <c r="E23" s="274"/>
      <c r="F23" s="274"/>
      <c r="G23" s="303"/>
      <c r="J23" s="96"/>
      <c r="K23" s="97">
        <v>2</v>
      </c>
      <c r="L23" s="97"/>
    </row>
    <row r="24" spans="1:12" ht="31.5" customHeight="1" x14ac:dyDescent="0.25">
      <c r="A24" s="343" t="s">
        <v>101</v>
      </c>
      <c r="B24" s="343"/>
      <c r="C24" s="343"/>
      <c r="D24" s="343"/>
      <c r="E24" s="9" t="s">
        <v>102</v>
      </c>
      <c r="F24" s="344" t="s">
        <v>103</v>
      </c>
      <c r="G24" s="345"/>
    </row>
    <row r="25" spans="1:12" ht="15.75" x14ac:dyDescent="0.25">
      <c r="A25" s="333" t="s">
        <v>282</v>
      </c>
      <c r="B25" s="334"/>
      <c r="C25" s="334"/>
      <c r="D25" s="335"/>
      <c r="E25" s="9" t="s">
        <v>104</v>
      </c>
      <c r="F25" s="336">
        <v>1</v>
      </c>
      <c r="G25" s="336"/>
    </row>
    <row r="26" spans="1:12" ht="28.5" customHeight="1" x14ac:dyDescent="0.25">
      <c r="A26" s="269" t="s">
        <v>105</v>
      </c>
      <c r="B26" s="270"/>
      <c r="C26" s="270"/>
      <c r="D26" s="270"/>
      <c r="E26" s="270"/>
      <c r="F26" s="270"/>
      <c r="G26" s="271"/>
    </row>
    <row r="27" spans="1:12" ht="33.75" customHeight="1" x14ac:dyDescent="0.25">
      <c r="A27" s="269" t="s">
        <v>106</v>
      </c>
      <c r="B27" s="270"/>
      <c r="C27" s="270"/>
      <c r="D27" s="270"/>
      <c r="E27" s="270"/>
      <c r="F27" s="270"/>
      <c r="G27" s="271"/>
    </row>
    <row r="28" spans="1:12" x14ac:dyDescent="0.25">
      <c r="A28" s="15"/>
      <c r="B28" s="16"/>
      <c r="C28" s="16"/>
      <c r="D28" s="16"/>
      <c r="E28" s="16"/>
      <c r="F28" s="16"/>
      <c r="G28" s="17"/>
    </row>
    <row r="29" spans="1:12" x14ac:dyDescent="0.25">
      <c r="A29" s="337" t="s">
        <v>107</v>
      </c>
      <c r="B29" s="337"/>
      <c r="C29" s="337"/>
      <c r="D29" s="337"/>
      <c r="E29" s="337"/>
      <c r="F29" s="337"/>
      <c r="G29" s="337"/>
    </row>
    <row r="30" spans="1:12" x14ac:dyDescent="0.25">
      <c r="A30" s="332" t="s">
        <v>108</v>
      </c>
      <c r="B30" s="332"/>
      <c r="C30" s="332"/>
      <c r="D30" s="332"/>
      <c r="E30" s="332"/>
      <c r="F30" s="332"/>
      <c r="G30" s="332"/>
    </row>
    <row r="31" spans="1:12" x14ac:dyDescent="0.25">
      <c r="A31" s="332" t="s">
        <v>109</v>
      </c>
      <c r="B31" s="332"/>
      <c r="C31" s="332"/>
      <c r="D31" s="332"/>
      <c r="E31" s="332"/>
      <c r="F31" s="332"/>
      <c r="G31" s="332"/>
    </row>
    <row r="32" spans="1:12" x14ac:dyDescent="0.25">
      <c r="A32" s="12">
        <v>1</v>
      </c>
      <c r="B32" s="288" t="s">
        <v>110</v>
      </c>
      <c r="C32" s="289"/>
      <c r="D32" s="289"/>
      <c r="E32" s="290"/>
      <c r="F32" s="275" t="str">
        <f>A25</f>
        <v>Jaúzeiro</v>
      </c>
      <c r="G32" s="277"/>
    </row>
    <row r="33" spans="1:7" x14ac:dyDescent="0.25">
      <c r="A33" s="12">
        <v>2</v>
      </c>
      <c r="B33" s="288" t="s">
        <v>111</v>
      </c>
      <c r="C33" s="289"/>
      <c r="D33" s="289"/>
      <c r="E33" s="290"/>
      <c r="F33" s="275" t="s">
        <v>283</v>
      </c>
      <c r="G33" s="277"/>
    </row>
    <row r="34" spans="1:7" x14ac:dyDescent="0.25">
      <c r="A34" s="13">
        <v>3</v>
      </c>
      <c r="B34" s="326" t="s">
        <v>521</v>
      </c>
      <c r="C34" s="327"/>
      <c r="D34" s="327"/>
      <c r="E34" s="328"/>
      <c r="F34" s="329">
        <v>2067.36</v>
      </c>
      <c r="G34" s="330"/>
    </row>
    <row r="35" spans="1:7" x14ac:dyDescent="0.25">
      <c r="A35" s="12">
        <v>4</v>
      </c>
      <c r="B35" s="288" t="s">
        <v>112</v>
      </c>
      <c r="C35" s="289"/>
      <c r="D35" s="289"/>
      <c r="E35" s="290"/>
      <c r="F35" s="275" t="str">
        <f>A25</f>
        <v>Jaúzeiro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2067.36</v>
      </c>
    </row>
    <row r="41" spans="1:7" x14ac:dyDescent="0.25">
      <c r="A41" s="12" t="s">
        <v>93</v>
      </c>
      <c r="B41" s="288" t="s">
        <v>602</v>
      </c>
      <c r="C41" s="289"/>
      <c r="D41" s="289"/>
      <c r="E41" s="290"/>
      <c r="F41" s="23">
        <v>0.3</v>
      </c>
      <c r="G41" s="24">
        <f>G40*F41</f>
        <v>620.20799999999997</v>
      </c>
    </row>
    <row r="42" spans="1:7" x14ac:dyDescent="0.25">
      <c r="A42" s="12" t="s">
        <v>96</v>
      </c>
      <c r="B42" s="288" t="s">
        <v>603</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1.3</v>
      </c>
      <c r="G46" s="22">
        <f>SUM(G40:G45)</f>
        <v>2687.5680000000002</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223.87441440000001</v>
      </c>
    </row>
    <row r="53" spans="1:7" x14ac:dyDescent="0.25">
      <c r="A53" s="12" t="s">
        <v>93</v>
      </c>
      <c r="B53" s="288" t="s">
        <v>131</v>
      </c>
      <c r="C53" s="289"/>
      <c r="D53" s="289"/>
      <c r="E53" s="290"/>
      <c r="F53" s="31">
        <f>8.33%+(8.33%*1/3)</f>
        <v>0.11106666666666666</v>
      </c>
      <c r="G53" s="26">
        <f>F53*G46</f>
        <v>298.49921920000003</v>
      </c>
    </row>
    <row r="54" spans="1:7" x14ac:dyDescent="0.25">
      <c r="A54" s="29"/>
      <c r="B54" s="281" t="s">
        <v>54</v>
      </c>
      <c r="C54" s="282"/>
      <c r="D54" s="282"/>
      <c r="E54" s="283"/>
      <c r="F54" s="32">
        <f>SUM(F52:F53)</f>
        <v>0.19436666666666666</v>
      </c>
      <c r="G54" s="22">
        <f>SUM(G52:G53)</f>
        <v>522.37363360000006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659.0573697066668</v>
      </c>
    </row>
    <row r="62" spans="1:7" x14ac:dyDescent="0.25">
      <c r="A62" s="12" t="s">
        <v>93</v>
      </c>
      <c r="B62" s="288" t="s">
        <v>139</v>
      </c>
      <c r="C62" s="289"/>
      <c r="D62" s="289"/>
      <c r="E62" s="290"/>
      <c r="F62" s="37">
        <v>2.5000000000000001E-2</v>
      </c>
      <c r="G62" s="38">
        <f>F62*(G46+G54+G127)</f>
        <v>82.382171213333351</v>
      </c>
    </row>
    <row r="63" spans="1:7" x14ac:dyDescent="0.25">
      <c r="A63" s="12" t="s">
        <v>96</v>
      </c>
      <c r="B63" s="288" t="s">
        <v>140</v>
      </c>
      <c r="C63" s="289"/>
      <c r="D63" s="289"/>
      <c r="E63" s="290"/>
      <c r="F63" s="37">
        <v>0.03</v>
      </c>
      <c r="G63" s="38">
        <f>F63*(G46+G54+G127)</f>
        <v>98.858605456000006</v>
      </c>
    </row>
    <row r="64" spans="1:7" x14ac:dyDescent="0.25">
      <c r="A64" s="12" t="s">
        <v>98</v>
      </c>
      <c r="B64" s="288" t="s">
        <v>141</v>
      </c>
      <c r="C64" s="289"/>
      <c r="D64" s="289"/>
      <c r="E64" s="290"/>
      <c r="F64" s="37">
        <v>1.4999999999999999E-2</v>
      </c>
      <c r="G64" s="38">
        <f>F64*(G46+G54+G127)</f>
        <v>49.429302728000003</v>
      </c>
    </row>
    <row r="65" spans="1:7" x14ac:dyDescent="0.25">
      <c r="A65" s="12" t="s">
        <v>120</v>
      </c>
      <c r="B65" s="288" t="s">
        <v>142</v>
      </c>
      <c r="C65" s="289"/>
      <c r="D65" s="289"/>
      <c r="E65" s="290"/>
      <c r="F65" s="37">
        <v>0.01</v>
      </c>
      <c r="G65" s="38">
        <f>F65*(G46+G54+G127)</f>
        <v>32.95286848533334</v>
      </c>
    </row>
    <row r="66" spans="1:7" x14ac:dyDescent="0.25">
      <c r="A66" s="12" t="s">
        <v>122</v>
      </c>
      <c r="B66" s="288" t="s">
        <v>143</v>
      </c>
      <c r="C66" s="289"/>
      <c r="D66" s="289"/>
      <c r="E66" s="290"/>
      <c r="F66" s="37">
        <v>6.0000000000000001E-3</v>
      </c>
      <c r="G66" s="38">
        <f>F66*(G46+G54+G127)</f>
        <v>19.771721091200003</v>
      </c>
    </row>
    <row r="67" spans="1:7" x14ac:dyDescent="0.25">
      <c r="A67" s="12" t="s">
        <v>144</v>
      </c>
      <c r="B67" s="288" t="s">
        <v>145</v>
      </c>
      <c r="C67" s="289"/>
      <c r="D67" s="289"/>
      <c r="E67" s="290"/>
      <c r="F67" s="37">
        <v>2E-3</v>
      </c>
      <c r="G67" s="38">
        <f>F67*(G46+G54+G127)</f>
        <v>6.5905736970666675</v>
      </c>
    </row>
    <row r="68" spans="1:7" x14ac:dyDescent="0.25">
      <c r="A68" s="12" t="s">
        <v>146</v>
      </c>
      <c r="B68" s="288" t="s">
        <v>147</v>
      </c>
      <c r="C68" s="289"/>
      <c r="D68" s="289"/>
      <c r="E68" s="290"/>
      <c r="F68" s="37">
        <v>0.08</v>
      </c>
      <c r="G68" s="38">
        <f>F68*(G46+G54+G127)</f>
        <v>263.62294788266672</v>
      </c>
    </row>
    <row r="69" spans="1:7" x14ac:dyDescent="0.25">
      <c r="A69" s="29"/>
      <c r="B69" s="281" t="s">
        <v>54</v>
      </c>
      <c r="C69" s="282"/>
      <c r="D69" s="282"/>
      <c r="E69" s="283"/>
      <c r="F69" s="32">
        <f>SUM(F61:F68)</f>
        <v>0.36800000000000005</v>
      </c>
      <c r="G69" s="39">
        <f>SUM(G61:G68)</f>
        <v>1212.6655602602668</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604</v>
      </c>
      <c r="C76" s="278"/>
      <c r="D76" s="278"/>
      <c r="E76" s="278"/>
      <c r="F76" s="278"/>
      <c r="G76" s="26">
        <f>((5.5)*2*21)-6%*G46</f>
        <v>69.745919999999984</v>
      </c>
    </row>
    <row r="77" spans="1:7" ht="30" customHeight="1" x14ac:dyDescent="0.25">
      <c r="A77" s="12" t="s">
        <v>93</v>
      </c>
      <c r="B77" s="278" t="s">
        <v>605</v>
      </c>
      <c r="C77" s="278"/>
      <c r="D77" s="278"/>
      <c r="E77" s="278"/>
      <c r="F77" s="278"/>
      <c r="G77" s="26">
        <f>44.3*21</f>
        <v>930.3</v>
      </c>
    </row>
    <row r="78" spans="1:7" x14ac:dyDescent="0.25">
      <c r="A78" s="12" t="s">
        <v>96</v>
      </c>
      <c r="B78" s="315" t="s">
        <v>606</v>
      </c>
      <c r="C78" s="316"/>
      <c r="D78" s="316"/>
      <c r="E78" s="316"/>
      <c r="F78" s="316"/>
      <c r="G78" s="26">
        <v>0</v>
      </c>
    </row>
    <row r="79" spans="1:7" x14ac:dyDescent="0.25">
      <c r="A79" s="12" t="s">
        <v>98</v>
      </c>
      <c r="B79" s="315" t="s">
        <v>607</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608</v>
      </c>
      <c r="C81" s="315"/>
      <c r="D81" s="315"/>
      <c r="E81" s="315"/>
      <c r="F81" s="315"/>
      <c r="G81" s="26">
        <v>0</v>
      </c>
    </row>
    <row r="82" spans="1:7" x14ac:dyDescent="0.25">
      <c r="A82" s="27"/>
      <c r="B82" s="281" t="s">
        <v>54</v>
      </c>
      <c r="C82" s="282"/>
      <c r="D82" s="282"/>
      <c r="E82" s="282"/>
      <c r="F82" s="283"/>
      <c r="G82" s="22">
        <f>SUM(G76:G81)</f>
        <v>1000.0459199999999</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522.37363360000006</v>
      </c>
    </row>
    <row r="89" spans="1:7" x14ac:dyDescent="0.25">
      <c r="A89" s="12" t="s">
        <v>135</v>
      </c>
      <c r="B89" s="278" t="s">
        <v>136</v>
      </c>
      <c r="C89" s="278"/>
      <c r="D89" s="278"/>
      <c r="E89" s="278"/>
      <c r="F89" s="278"/>
      <c r="G89" s="26">
        <f>G69</f>
        <v>1212.6655602602668</v>
      </c>
    </row>
    <row r="90" spans="1:7" x14ac:dyDescent="0.25">
      <c r="A90" s="12" t="s">
        <v>152</v>
      </c>
      <c r="B90" s="278" t="s">
        <v>153</v>
      </c>
      <c r="C90" s="278"/>
      <c r="D90" s="278"/>
      <c r="E90" s="278"/>
      <c r="F90" s="278"/>
      <c r="G90" s="26">
        <f>G82</f>
        <v>1000.0459199999999</v>
      </c>
    </row>
    <row r="91" spans="1:7" x14ac:dyDescent="0.25">
      <c r="A91" s="45"/>
      <c r="B91" s="308" t="s">
        <v>54</v>
      </c>
      <c r="C91" s="309"/>
      <c r="D91" s="309"/>
      <c r="E91" s="309"/>
      <c r="F91" s="310"/>
      <c r="G91" s="22">
        <f>SUM(G88:G90)</f>
        <v>2735.085113860267</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13.385456612112002</v>
      </c>
    </row>
    <row r="96" spans="1:7" ht="21" customHeight="1" x14ac:dyDescent="0.25">
      <c r="A96" s="9" t="s">
        <v>93</v>
      </c>
      <c r="B96" s="288" t="s">
        <v>163</v>
      </c>
      <c r="C96" s="289"/>
      <c r="D96" s="289"/>
      <c r="E96" s="290"/>
      <c r="F96" s="47">
        <f>F68*F95</f>
        <v>3.3360000000000003E-4</v>
      </c>
      <c r="G96" s="26">
        <f>F96*(G46+G54)</f>
        <v>1.0708365289689603</v>
      </c>
    </row>
    <row r="97" spans="1:7" ht="49.5" customHeight="1" x14ac:dyDescent="0.25">
      <c r="A97" s="12" t="s">
        <v>96</v>
      </c>
      <c r="B97" s="365" t="s">
        <v>599</v>
      </c>
      <c r="C97" s="366"/>
      <c r="D97" s="366"/>
      <c r="E97" s="367"/>
      <c r="F97" s="47">
        <f>40%*8%*90%*(1+8.33%+9.09%+3.03%)</f>
        <v>3.4689600000000001E-2</v>
      </c>
      <c r="G97" s="26">
        <f>F97*(G46+G54)</f>
        <v>111.35159129293058</v>
      </c>
    </row>
    <row r="98" spans="1:7" ht="48" customHeight="1" x14ac:dyDescent="0.25">
      <c r="A98" s="12" t="s">
        <v>98</v>
      </c>
      <c r="B98" s="288" t="s">
        <v>164</v>
      </c>
      <c r="C98" s="289"/>
      <c r="D98" s="289"/>
      <c r="E98" s="290"/>
      <c r="F98" s="47">
        <f>(7/30)/12</f>
        <v>1.9444444444444445E-2</v>
      </c>
      <c r="G98" s="26">
        <f>F98*(G46+G54)</f>
        <v>62.415531764444452</v>
      </c>
    </row>
    <row r="99" spans="1:7" ht="39" customHeight="1" x14ac:dyDescent="0.25">
      <c r="A99" s="13" t="s">
        <v>120</v>
      </c>
      <c r="B99" s="305" t="s">
        <v>215</v>
      </c>
      <c r="C99" s="306"/>
      <c r="D99" s="306"/>
      <c r="E99" s="307"/>
      <c r="F99" s="48">
        <f>F69*F98</f>
        <v>7.1555555555555565E-3</v>
      </c>
      <c r="G99" s="49">
        <f>F99*(G46+G54)</f>
        <v>22.968915689315562</v>
      </c>
    </row>
    <row r="100" spans="1:7" ht="29.25" customHeight="1" x14ac:dyDescent="0.25">
      <c r="A100" s="12" t="s">
        <v>122</v>
      </c>
      <c r="B100" s="288" t="s">
        <v>214</v>
      </c>
      <c r="C100" s="289"/>
      <c r="D100" s="289"/>
      <c r="E100" s="290"/>
      <c r="F100" s="31">
        <f>40%*F98</f>
        <v>7.7777777777777784E-3</v>
      </c>
      <c r="G100" s="26">
        <f>F100*G46</f>
        <v>20.903306666666669</v>
      </c>
    </row>
    <row r="101" spans="1:7" x14ac:dyDescent="0.25">
      <c r="A101" s="50"/>
      <c r="B101" s="300" t="s">
        <v>54</v>
      </c>
      <c r="C101" s="301"/>
      <c r="D101" s="301"/>
      <c r="E101" s="302"/>
      <c r="F101" s="51">
        <f>SUM(F95:F100)</f>
        <v>7.3570977777777768E-2</v>
      </c>
      <c r="G101" s="22">
        <f>SUM(G95:G100)</f>
        <v>232.09563855443824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24.874934933333336</v>
      </c>
    </row>
    <row r="109" spans="1:7" x14ac:dyDescent="0.25">
      <c r="A109" s="12" t="s">
        <v>93</v>
      </c>
      <c r="B109" s="288" t="s">
        <v>171</v>
      </c>
      <c r="C109" s="289"/>
      <c r="D109" s="289"/>
      <c r="E109" s="289"/>
      <c r="F109" s="31">
        <f>(1/12)/30</f>
        <v>2.7777777777777775E-3</v>
      </c>
      <c r="G109" s="26">
        <f>F109*G46</f>
        <v>7.465466666666666</v>
      </c>
    </row>
    <row r="110" spans="1:7" x14ac:dyDescent="0.25">
      <c r="A110" s="12" t="s">
        <v>96</v>
      </c>
      <c r="B110" s="288" t="s">
        <v>172</v>
      </c>
      <c r="C110" s="289"/>
      <c r="D110" s="289"/>
      <c r="E110" s="289"/>
      <c r="F110" s="55">
        <f>1.5%/12</f>
        <v>1.25E-3</v>
      </c>
      <c r="G110" s="26">
        <f>F110*G46</f>
        <v>3.3594600000000003</v>
      </c>
    </row>
    <row r="111" spans="1:7" ht="33" customHeight="1" x14ac:dyDescent="0.25">
      <c r="A111" s="12" t="s">
        <v>98</v>
      </c>
      <c r="B111" s="288" t="s">
        <v>173</v>
      </c>
      <c r="C111" s="289"/>
      <c r="D111" s="289"/>
      <c r="E111" s="289"/>
      <c r="F111" s="47">
        <f>8%/12/2</f>
        <v>3.3333333333333335E-3</v>
      </c>
      <c r="G111" s="26">
        <f>F111*G46</f>
        <v>8.9585600000000021</v>
      </c>
    </row>
    <row r="112" spans="1:7" ht="28.5" customHeight="1" x14ac:dyDescent="0.25">
      <c r="A112" s="12" t="s">
        <v>120</v>
      </c>
      <c r="B112" s="288" t="s">
        <v>174</v>
      </c>
      <c r="C112" s="289"/>
      <c r="D112" s="289"/>
      <c r="E112" s="289"/>
      <c r="F112" s="56">
        <f>1.5%/12</f>
        <v>1.25E-3</v>
      </c>
      <c r="G112" s="26">
        <f>F112*G46</f>
        <v>3.3594600000000003</v>
      </c>
    </row>
    <row r="113" spans="1:7" x14ac:dyDescent="0.25">
      <c r="A113" s="12" t="s">
        <v>122</v>
      </c>
      <c r="B113" s="288" t="s">
        <v>175</v>
      </c>
      <c r="C113" s="289"/>
      <c r="D113" s="289"/>
      <c r="E113" s="289"/>
      <c r="F113" s="31">
        <f>(5/12)/30</f>
        <v>1.388888888888889E-2</v>
      </c>
      <c r="G113" s="26">
        <f>F113*G46</f>
        <v>37.327333333333335</v>
      </c>
    </row>
    <row r="114" spans="1:7" x14ac:dyDescent="0.25">
      <c r="A114" s="50"/>
      <c r="B114" s="281" t="s">
        <v>54</v>
      </c>
      <c r="C114" s="282"/>
      <c r="D114" s="282"/>
      <c r="E114" s="283"/>
      <c r="F114" s="57">
        <f>SUM(F108:F113)</f>
        <v>3.1755555555555558E-2</v>
      </c>
      <c r="G114" s="22">
        <f>SUM(G108:G113)</f>
        <v>85.345214933333324</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85.345214933333324</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85.345214933333324</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Categoria'!O41</f>
        <v>109.11458333333333</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109.11458333333333</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158.08202753406863</v>
      </c>
    </row>
    <row r="141" spans="1:7" x14ac:dyDescent="0.25">
      <c r="A141" s="12" t="s">
        <v>93</v>
      </c>
      <c r="B141" s="278" t="s">
        <v>193</v>
      </c>
      <c r="C141" s="278"/>
      <c r="D141" s="278"/>
      <c r="E141" s="279">
        <v>0.05</v>
      </c>
      <c r="F141" s="280"/>
      <c r="G141" s="67">
        <f>(G47+G91+G101+G127+G135+G140)*E141</f>
        <v>165.98612891077207</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246.66075512874306</v>
      </c>
    </row>
    <row r="144" spans="1:7" x14ac:dyDescent="0.25">
      <c r="A144" s="71"/>
      <c r="B144" s="278" t="s">
        <v>196</v>
      </c>
      <c r="C144" s="278"/>
      <c r="D144" s="278"/>
      <c r="E144" s="279">
        <v>0.05</v>
      </c>
      <c r="F144" s="280"/>
      <c r="G144" s="67">
        <f>E144*G158</f>
        <v>337.89144538183984</v>
      </c>
    </row>
    <row r="145" spans="1:9" x14ac:dyDescent="0.25">
      <c r="A145" s="29"/>
      <c r="B145" s="281" t="s">
        <v>54</v>
      </c>
      <c r="C145" s="282"/>
      <c r="D145" s="283"/>
      <c r="E145" s="284">
        <f>E140+E141+E142</f>
        <v>0.1865</v>
      </c>
      <c r="F145" s="283"/>
      <c r="G145" s="72">
        <f>SUM(G140:G144)</f>
        <v>908.62035695542363</v>
      </c>
    </row>
    <row r="146" spans="1:9" x14ac:dyDescent="0.25">
      <c r="A146" s="269" t="s">
        <v>197</v>
      </c>
      <c r="B146" s="270"/>
      <c r="C146" s="270"/>
      <c r="D146" s="270"/>
      <c r="E146" s="270"/>
      <c r="F146" s="270"/>
      <c r="G146" s="271"/>
    </row>
    <row r="147" spans="1:9" x14ac:dyDescent="0.25">
      <c r="A147" s="269" t="s">
        <v>198</v>
      </c>
      <c r="B147" s="270"/>
      <c r="C147" s="270"/>
      <c r="D147" s="270"/>
      <c r="E147" s="270"/>
      <c r="F147" s="270"/>
      <c r="G147" s="271"/>
    </row>
    <row r="148" spans="1:9" x14ac:dyDescent="0.25">
      <c r="A148" s="272"/>
      <c r="B148" s="272"/>
      <c r="C148" s="272"/>
      <c r="D148" s="272"/>
      <c r="E148" s="272"/>
      <c r="F148" s="272"/>
      <c r="G148" s="273"/>
    </row>
    <row r="149" spans="1:9" x14ac:dyDescent="0.25">
      <c r="A149" s="63"/>
      <c r="B149" s="274" t="s">
        <v>199</v>
      </c>
      <c r="C149" s="274"/>
      <c r="D149" s="274"/>
      <c r="E149" s="274"/>
      <c r="F149" s="274"/>
      <c r="G149" s="30"/>
    </row>
    <row r="150" spans="1:9" x14ac:dyDescent="0.25">
      <c r="A150" s="73"/>
      <c r="B150" s="275" t="s">
        <v>200</v>
      </c>
      <c r="C150" s="276"/>
      <c r="D150" s="276"/>
      <c r="E150" s="276"/>
      <c r="F150" s="277"/>
      <c r="G150" s="73" t="s">
        <v>201</v>
      </c>
    </row>
    <row r="151" spans="1:9" x14ac:dyDescent="0.25">
      <c r="A151" s="12" t="s">
        <v>91</v>
      </c>
      <c r="B151" s="260" t="s">
        <v>202</v>
      </c>
      <c r="C151" s="261"/>
      <c r="D151" s="261"/>
      <c r="E151" s="261"/>
      <c r="F151" s="262"/>
      <c r="G151" s="74">
        <f>G46</f>
        <v>2687.5680000000002</v>
      </c>
      <c r="I151" s="87" t="s">
        <v>217</v>
      </c>
    </row>
    <row r="152" spans="1:9" x14ac:dyDescent="0.25">
      <c r="A152" s="12" t="s">
        <v>93</v>
      </c>
      <c r="B152" s="260" t="s">
        <v>203</v>
      </c>
      <c r="C152" s="261"/>
      <c r="D152" s="261"/>
      <c r="E152" s="261"/>
      <c r="F152" s="262"/>
      <c r="G152" s="74">
        <f>G91</f>
        <v>2735.085113860267</v>
      </c>
    </row>
    <row r="153" spans="1:9" x14ac:dyDescent="0.25">
      <c r="A153" s="12" t="s">
        <v>96</v>
      </c>
      <c r="B153" s="260" t="s">
        <v>204</v>
      </c>
      <c r="C153" s="261"/>
      <c r="D153" s="261"/>
      <c r="E153" s="261"/>
      <c r="F153" s="262"/>
      <c r="G153" s="74">
        <f>G101</f>
        <v>232.09563855443824</v>
      </c>
    </row>
    <row r="154" spans="1:9" x14ac:dyDescent="0.25">
      <c r="A154" s="12" t="s">
        <v>98</v>
      </c>
      <c r="B154" s="260" t="s">
        <v>205</v>
      </c>
      <c r="C154" s="261"/>
      <c r="D154" s="261"/>
      <c r="E154" s="261"/>
      <c r="F154" s="262"/>
      <c r="G154" s="74">
        <f>G127</f>
        <v>85.345214933333324</v>
      </c>
    </row>
    <row r="155" spans="1:9" x14ac:dyDescent="0.25">
      <c r="A155" s="12" t="s">
        <v>120</v>
      </c>
      <c r="B155" s="260" t="s">
        <v>206</v>
      </c>
      <c r="C155" s="261"/>
      <c r="D155" s="261"/>
      <c r="E155" s="261"/>
      <c r="F155" s="262"/>
      <c r="G155" s="74">
        <f>G135</f>
        <v>109.11458333333333</v>
      </c>
    </row>
    <row r="156" spans="1:9" x14ac:dyDescent="0.25">
      <c r="A156" s="75"/>
      <c r="B156" s="266" t="s">
        <v>207</v>
      </c>
      <c r="C156" s="267"/>
      <c r="D156" s="267"/>
      <c r="E156" s="267"/>
      <c r="F156" s="268"/>
      <c r="G156" s="74">
        <f>SUM(G151:G155)</f>
        <v>5849.2085506813728</v>
      </c>
    </row>
    <row r="157" spans="1:9" x14ac:dyDescent="0.25">
      <c r="A157" s="76" t="s">
        <v>122</v>
      </c>
      <c r="B157" s="260" t="s">
        <v>208</v>
      </c>
      <c r="C157" s="261"/>
      <c r="D157" s="261"/>
      <c r="E157" s="261"/>
      <c r="F157" s="262"/>
      <c r="G157" s="74">
        <f>G145</f>
        <v>908.62035695542363</v>
      </c>
    </row>
    <row r="158" spans="1:9" x14ac:dyDescent="0.25">
      <c r="A158" s="77"/>
      <c r="B158" s="263" t="s">
        <v>209</v>
      </c>
      <c r="C158" s="264"/>
      <c r="D158" s="264"/>
      <c r="E158" s="264"/>
      <c r="F158" s="265"/>
      <c r="G158" s="78">
        <f>(G140+G141+G156)/(1-8.65/100)</f>
        <v>6757.8289076367964</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58"/>
  <sheetViews>
    <sheetView topLeftCell="A51" zoomScale="130" zoomScaleNormal="130" workbookViewId="0">
      <selection activeCell="F63" sqref="F63"/>
    </sheetView>
  </sheetViews>
  <sheetFormatPr defaultRowHeight="15" x14ac:dyDescent="0.25"/>
  <cols>
    <col min="1" max="1" width="6.140625" customWidth="1"/>
    <col min="2" max="5" width="15.7109375" customWidth="1"/>
    <col min="6" max="7" width="12.7109375" customWidth="1"/>
    <col min="9" max="9" width="10.85546875" bestFit="1"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9" x14ac:dyDescent="0.25">
      <c r="A17" s="285" t="s">
        <v>90</v>
      </c>
      <c r="B17" s="274"/>
      <c r="C17" s="274"/>
      <c r="D17" s="274"/>
      <c r="E17" s="274"/>
      <c r="F17" s="274"/>
      <c r="G17" s="303"/>
    </row>
    <row r="18" spans="1:9" ht="15.75" x14ac:dyDescent="0.25">
      <c r="A18" s="12" t="s">
        <v>91</v>
      </c>
      <c r="B18" s="338" t="s">
        <v>92</v>
      </c>
      <c r="C18" s="339"/>
      <c r="D18" s="339"/>
      <c r="E18" s="340"/>
      <c r="F18" s="346">
        <f ca="1">NOW()</f>
        <v>45831.471022685182</v>
      </c>
      <c r="G18" s="347"/>
    </row>
    <row r="19" spans="1:9" x14ac:dyDescent="0.25">
      <c r="A19" s="12" t="s">
        <v>93</v>
      </c>
      <c r="B19" s="338" t="s">
        <v>94</v>
      </c>
      <c r="C19" s="339"/>
      <c r="D19" s="339"/>
      <c r="E19" s="340"/>
      <c r="F19" s="294" t="s">
        <v>95</v>
      </c>
      <c r="G19" s="296"/>
    </row>
    <row r="20" spans="1:9" ht="29.25" customHeight="1" x14ac:dyDescent="0.25">
      <c r="A20" s="13" t="s">
        <v>96</v>
      </c>
      <c r="B20" s="348" t="s">
        <v>97</v>
      </c>
      <c r="C20" s="349"/>
      <c r="D20" s="349"/>
      <c r="E20" s="350"/>
      <c r="F20" s="351" t="s">
        <v>516</v>
      </c>
      <c r="G20" s="352"/>
    </row>
    <row r="21" spans="1:9" ht="15.75" x14ac:dyDescent="0.25">
      <c r="A21" s="12" t="s">
        <v>98</v>
      </c>
      <c r="B21" s="338" t="s">
        <v>99</v>
      </c>
      <c r="C21" s="339"/>
      <c r="D21" s="339"/>
      <c r="E21" s="340"/>
      <c r="F21" s="341">
        <v>12</v>
      </c>
      <c r="G21" s="342"/>
    </row>
    <row r="22" spans="1:9" x14ac:dyDescent="0.25">
      <c r="A22" s="14"/>
      <c r="B22" s="14"/>
      <c r="C22" s="14"/>
      <c r="D22" s="14"/>
      <c r="E22" s="14"/>
      <c r="F22" s="14"/>
      <c r="G22" s="14"/>
    </row>
    <row r="23" spans="1:9" x14ac:dyDescent="0.25">
      <c r="A23" s="285" t="s">
        <v>100</v>
      </c>
      <c r="B23" s="274"/>
      <c r="C23" s="274"/>
      <c r="D23" s="274"/>
      <c r="E23" s="274"/>
      <c r="F23" s="274"/>
      <c r="G23" s="303"/>
    </row>
    <row r="24" spans="1:9" ht="32.25" customHeight="1" x14ac:dyDescent="0.25">
      <c r="A24" s="343" t="s">
        <v>101</v>
      </c>
      <c r="B24" s="343"/>
      <c r="C24" s="343"/>
      <c r="D24" s="343"/>
      <c r="E24" s="9" t="s">
        <v>102</v>
      </c>
      <c r="F24" s="344" t="s">
        <v>103</v>
      </c>
      <c r="G24" s="345"/>
    </row>
    <row r="25" spans="1:9" ht="15.75" x14ac:dyDescent="0.25">
      <c r="A25" s="333" t="s">
        <v>284</v>
      </c>
      <c r="B25" s="334"/>
      <c r="C25" s="334"/>
      <c r="D25" s="335"/>
      <c r="E25" s="9" t="s">
        <v>104</v>
      </c>
      <c r="F25" s="336">
        <v>1</v>
      </c>
      <c r="G25" s="336"/>
      <c r="I25" s="98"/>
    </row>
    <row r="26" spans="1:9" ht="28.5" customHeight="1" x14ac:dyDescent="0.25">
      <c r="A26" s="269" t="s">
        <v>105</v>
      </c>
      <c r="B26" s="270"/>
      <c r="C26" s="270"/>
      <c r="D26" s="270"/>
      <c r="E26" s="270"/>
      <c r="F26" s="270"/>
      <c r="G26" s="271"/>
    </row>
    <row r="27" spans="1:9" ht="33.75" customHeight="1" x14ac:dyDescent="0.25">
      <c r="A27" s="269" t="s">
        <v>106</v>
      </c>
      <c r="B27" s="270"/>
      <c r="C27" s="270"/>
      <c r="D27" s="270"/>
      <c r="E27" s="270"/>
      <c r="F27" s="270"/>
      <c r="G27" s="271"/>
    </row>
    <row r="28" spans="1:9" x14ac:dyDescent="0.25">
      <c r="A28" s="15"/>
      <c r="B28" s="16"/>
      <c r="C28" s="16"/>
      <c r="D28" s="16"/>
      <c r="E28" s="16"/>
      <c r="F28" s="16"/>
      <c r="G28" s="17"/>
    </row>
    <row r="29" spans="1:9" x14ac:dyDescent="0.25">
      <c r="A29" s="337" t="s">
        <v>107</v>
      </c>
      <c r="B29" s="337"/>
      <c r="C29" s="337"/>
      <c r="D29" s="337"/>
      <c r="E29" s="337"/>
      <c r="F29" s="337"/>
      <c r="G29" s="337"/>
    </row>
    <row r="30" spans="1:9" x14ac:dyDescent="0.25">
      <c r="A30" s="332" t="s">
        <v>108</v>
      </c>
      <c r="B30" s="332"/>
      <c r="C30" s="332"/>
      <c r="D30" s="332"/>
      <c r="E30" s="332"/>
      <c r="F30" s="332"/>
      <c r="G30" s="332"/>
    </row>
    <row r="31" spans="1:9" x14ac:dyDescent="0.25">
      <c r="A31" s="332" t="s">
        <v>109</v>
      </c>
      <c r="B31" s="332"/>
      <c r="C31" s="332"/>
      <c r="D31" s="332"/>
      <c r="E31" s="332"/>
      <c r="F31" s="332"/>
      <c r="G31" s="332"/>
    </row>
    <row r="32" spans="1:9" x14ac:dyDescent="0.25">
      <c r="A32" s="12">
        <v>1</v>
      </c>
      <c r="B32" s="288" t="s">
        <v>110</v>
      </c>
      <c r="C32" s="289"/>
      <c r="D32" s="289"/>
      <c r="E32" s="290"/>
      <c r="F32" s="275" t="str">
        <f>A25</f>
        <v>Lavador de Auto</v>
      </c>
      <c r="G32" s="277"/>
    </row>
    <row r="33" spans="1:7" x14ac:dyDescent="0.25">
      <c r="A33" s="12">
        <v>2</v>
      </c>
      <c r="B33" s="288" t="s">
        <v>111</v>
      </c>
      <c r="C33" s="289"/>
      <c r="D33" s="289"/>
      <c r="E33" s="290"/>
      <c r="F33" s="275" t="s">
        <v>285</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Lavador de Auto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566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528</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611</v>
      </c>
      <c r="C76" s="278"/>
      <c r="D76" s="278"/>
      <c r="E76" s="278"/>
      <c r="F76" s="278"/>
      <c r="G76" s="26">
        <f>((5.5)*2*21)-6%*G46</f>
        <v>126.37860000000001</v>
      </c>
    </row>
    <row r="77" spans="1:7" ht="30" customHeight="1" x14ac:dyDescent="0.25">
      <c r="A77" s="12" t="s">
        <v>93</v>
      </c>
      <c r="B77" s="278" t="s">
        <v>614</v>
      </c>
      <c r="C77" s="278"/>
      <c r="D77" s="278"/>
      <c r="E77" s="278"/>
      <c r="F77" s="278"/>
      <c r="G77" s="26">
        <f>44.3*21</f>
        <v>930.3</v>
      </c>
    </row>
    <row r="78" spans="1:7" x14ac:dyDescent="0.25">
      <c r="A78" s="12" t="s">
        <v>96</v>
      </c>
      <c r="B78" s="315" t="s">
        <v>618</v>
      </c>
      <c r="C78" s="316"/>
      <c r="D78" s="316"/>
      <c r="E78" s="316"/>
      <c r="F78" s="316"/>
      <c r="G78" s="26">
        <v>0</v>
      </c>
    </row>
    <row r="79" spans="1:7" x14ac:dyDescent="0.25">
      <c r="A79" s="12" t="s">
        <v>98</v>
      </c>
      <c r="B79" s="315" t="s">
        <v>622</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624</v>
      </c>
      <c r="C81" s="315"/>
      <c r="D81" s="315"/>
      <c r="E81" s="315"/>
      <c r="F81" s="315"/>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91" t="s">
        <v>597</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Categoria'!O51</f>
        <v>93.28125</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93.28125</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124.08028797606424</v>
      </c>
    </row>
    <row r="141" spans="1:7" x14ac:dyDescent="0.25">
      <c r="A141" s="12" t="s">
        <v>93</v>
      </c>
      <c r="B141" s="278" t="s">
        <v>193</v>
      </c>
      <c r="C141" s="278"/>
      <c r="D141" s="278"/>
      <c r="E141" s="279">
        <v>0.05</v>
      </c>
      <c r="F141" s="280"/>
      <c r="G141" s="67">
        <f>(G47+G91+G101+G127+G135+G140)*E141</f>
        <v>130.28430237486745</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178.99026028498727</v>
      </c>
    </row>
    <row r="144" spans="1:7" x14ac:dyDescent="0.25">
      <c r="A144" s="71"/>
      <c r="B144" s="278" t="s">
        <v>196</v>
      </c>
      <c r="C144" s="278"/>
      <c r="D144" s="278"/>
      <c r="E144" s="279">
        <v>0.05</v>
      </c>
      <c r="F144" s="280"/>
      <c r="G144" s="67">
        <f>E144*G158</f>
        <v>245.19213737669494</v>
      </c>
    </row>
    <row r="145" spans="1:7" x14ac:dyDescent="0.25">
      <c r="A145" s="29"/>
      <c r="B145" s="281" t="s">
        <v>54</v>
      </c>
      <c r="C145" s="282"/>
      <c r="D145" s="283"/>
      <c r="E145" s="284">
        <f>E140+E141+E142</f>
        <v>0.1865</v>
      </c>
      <c r="F145" s="283"/>
      <c r="G145" s="72">
        <f>SUM(G140:G144)</f>
        <v>678.54698801261395</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93.28125</v>
      </c>
    </row>
    <row r="156" spans="1:7" x14ac:dyDescent="0.25">
      <c r="A156" s="75"/>
      <c r="B156" s="266" t="s">
        <v>207</v>
      </c>
      <c r="C156" s="267"/>
      <c r="D156" s="267"/>
      <c r="E156" s="267"/>
      <c r="F156" s="268"/>
      <c r="G156" s="74">
        <f>SUM(G151:G155)</f>
        <v>4225.2957595212847</v>
      </c>
    </row>
    <row r="157" spans="1:7" x14ac:dyDescent="0.25">
      <c r="A157" s="76" t="s">
        <v>122</v>
      </c>
      <c r="B157" s="260" t="s">
        <v>208</v>
      </c>
      <c r="C157" s="261"/>
      <c r="D157" s="261"/>
      <c r="E157" s="261"/>
      <c r="F157" s="262"/>
      <c r="G157" s="74">
        <f>G145</f>
        <v>678.54698801261395</v>
      </c>
    </row>
    <row r="158" spans="1:7" x14ac:dyDescent="0.25">
      <c r="A158" s="77"/>
      <c r="B158" s="263" t="s">
        <v>209</v>
      </c>
      <c r="C158" s="264"/>
      <c r="D158" s="264"/>
      <c r="E158" s="264"/>
      <c r="F158" s="265"/>
      <c r="G158" s="78">
        <f>(G140+G141+G156)/(1-8.65/100)</f>
        <v>4903.8427475338985</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158"/>
  <sheetViews>
    <sheetView topLeftCell="A45" zoomScale="130" zoomScaleNormal="130" workbookViewId="0">
      <selection activeCell="F63" sqref="F63"/>
    </sheetView>
  </sheetViews>
  <sheetFormatPr defaultRowHeight="15" x14ac:dyDescent="0.25"/>
  <cols>
    <col min="1" max="1" width="6.140625" customWidth="1"/>
    <col min="2" max="5" width="15.7109375" customWidth="1"/>
    <col min="6" max="7" width="12.7109375" customWidth="1"/>
    <col min="9" max="9" width="10.85546875" bestFit="1"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9" x14ac:dyDescent="0.25">
      <c r="A17" s="285" t="s">
        <v>90</v>
      </c>
      <c r="B17" s="274"/>
      <c r="C17" s="274"/>
      <c r="D17" s="274"/>
      <c r="E17" s="274"/>
      <c r="F17" s="274"/>
      <c r="G17" s="303"/>
    </row>
    <row r="18" spans="1:9" ht="15.75" x14ac:dyDescent="0.25">
      <c r="A18" s="12" t="s">
        <v>91</v>
      </c>
      <c r="B18" s="338" t="s">
        <v>92</v>
      </c>
      <c r="C18" s="339"/>
      <c r="D18" s="339"/>
      <c r="E18" s="340"/>
      <c r="F18" s="346">
        <f ca="1">NOW()</f>
        <v>45831.471022685182</v>
      </c>
      <c r="G18" s="347"/>
    </row>
    <row r="19" spans="1:9" x14ac:dyDescent="0.25">
      <c r="A19" s="12" t="s">
        <v>93</v>
      </c>
      <c r="B19" s="338" t="s">
        <v>94</v>
      </c>
      <c r="C19" s="339"/>
      <c r="D19" s="339"/>
      <c r="E19" s="340"/>
      <c r="F19" s="294" t="s">
        <v>95</v>
      </c>
      <c r="G19" s="296"/>
    </row>
    <row r="20" spans="1:9" ht="29.25" customHeight="1" x14ac:dyDescent="0.25">
      <c r="A20" s="13" t="s">
        <v>96</v>
      </c>
      <c r="B20" s="348" t="s">
        <v>97</v>
      </c>
      <c r="C20" s="349"/>
      <c r="D20" s="349"/>
      <c r="E20" s="350"/>
      <c r="F20" s="351" t="s">
        <v>516</v>
      </c>
      <c r="G20" s="352"/>
    </row>
    <row r="21" spans="1:9" ht="15.75" x14ac:dyDescent="0.25">
      <c r="A21" s="12" t="s">
        <v>98</v>
      </c>
      <c r="B21" s="338" t="s">
        <v>99</v>
      </c>
      <c r="C21" s="339"/>
      <c r="D21" s="339"/>
      <c r="E21" s="340"/>
      <c r="F21" s="341">
        <v>12</v>
      </c>
      <c r="G21" s="342"/>
    </row>
    <row r="22" spans="1:9" x14ac:dyDescent="0.25">
      <c r="A22" s="14"/>
      <c r="B22" s="14"/>
      <c r="C22" s="14"/>
      <c r="D22" s="14"/>
      <c r="E22" s="14"/>
      <c r="F22" s="14"/>
      <c r="G22" s="14"/>
    </row>
    <row r="23" spans="1:9" x14ac:dyDescent="0.25">
      <c r="A23" s="285" t="s">
        <v>100</v>
      </c>
      <c r="B23" s="274"/>
      <c r="C23" s="274"/>
      <c r="D23" s="274"/>
      <c r="E23" s="274"/>
      <c r="F23" s="274"/>
      <c r="G23" s="303"/>
    </row>
    <row r="24" spans="1:9" ht="32.25" customHeight="1" x14ac:dyDescent="0.25">
      <c r="A24" s="343" t="s">
        <v>101</v>
      </c>
      <c r="B24" s="343"/>
      <c r="C24" s="343"/>
      <c r="D24" s="343"/>
      <c r="E24" s="9" t="s">
        <v>102</v>
      </c>
      <c r="F24" s="344" t="s">
        <v>103</v>
      </c>
      <c r="G24" s="345"/>
    </row>
    <row r="25" spans="1:9" ht="15.75" x14ac:dyDescent="0.25">
      <c r="A25" s="333" t="s">
        <v>48</v>
      </c>
      <c r="B25" s="334"/>
      <c r="C25" s="334"/>
      <c r="D25" s="335"/>
      <c r="E25" s="9" t="s">
        <v>104</v>
      </c>
      <c r="F25" s="336">
        <v>1</v>
      </c>
      <c r="G25" s="336"/>
      <c r="I25" s="98"/>
    </row>
    <row r="26" spans="1:9" ht="28.5" customHeight="1" x14ac:dyDescent="0.25">
      <c r="A26" s="269" t="s">
        <v>105</v>
      </c>
      <c r="B26" s="270"/>
      <c r="C26" s="270"/>
      <c r="D26" s="270"/>
      <c r="E26" s="270"/>
      <c r="F26" s="270"/>
      <c r="G26" s="271"/>
    </row>
    <row r="27" spans="1:9" ht="33.75" customHeight="1" x14ac:dyDescent="0.25">
      <c r="A27" s="269" t="s">
        <v>106</v>
      </c>
      <c r="B27" s="270"/>
      <c r="C27" s="270"/>
      <c r="D27" s="270"/>
      <c r="E27" s="270"/>
      <c r="F27" s="270"/>
      <c r="G27" s="271"/>
    </row>
    <row r="28" spans="1:9" x14ac:dyDescent="0.25">
      <c r="A28" s="15"/>
      <c r="B28" s="16"/>
      <c r="C28" s="16"/>
      <c r="D28" s="16"/>
      <c r="E28" s="16"/>
      <c r="F28" s="16"/>
      <c r="G28" s="17"/>
    </row>
    <row r="29" spans="1:9" x14ac:dyDescent="0.25">
      <c r="A29" s="337" t="s">
        <v>107</v>
      </c>
      <c r="B29" s="337"/>
      <c r="C29" s="337"/>
      <c r="D29" s="337"/>
      <c r="E29" s="337"/>
      <c r="F29" s="337"/>
      <c r="G29" s="337"/>
    </row>
    <row r="30" spans="1:9" x14ac:dyDescent="0.25">
      <c r="A30" s="332" t="s">
        <v>108</v>
      </c>
      <c r="B30" s="332"/>
      <c r="C30" s="332"/>
      <c r="D30" s="332"/>
      <c r="E30" s="332"/>
      <c r="F30" s="332"/>
      <c r="G30" s="332"/>
    </row>
    <row r="31" spans="1:9" x14ac:dyDescent="0.25">
      <c r="A31" s="332" t="s">
        <v>109</v>
      </c>
      <c r="B31" s="332"/>
      <c r="C31" s="332"/>
      <c r="D31" s="332"/>
      <c r="E31" s="332"/>
      <c r="F31" s="332"/>
      <c r="G31" s="332"/>
    </row>
    <row r="32" spans="1:9" x14ac:dyDescent="0.25">
      <c r="A32" s="12">
        <v>1</v>
      </c>
      <c r="B32" s="288" t="s">
        <v>110</v>
      </c>
      <c r="C32" s="289"/>
      <c r="D32" s="289"/>
      <c r="E32" s="290"/>
      <c r="F32" s="275" t="str">
        <f>A25</f>
        <v>Carregador de Móveis</v>
      </c>
      <c r="G32" s="277"/>
    </row>
    <row r="33" spans="1:7" x14ac:dyDescent="0.25">
      <c r="A33" s="12">
        <v>2</v>
      </c>
      <c r="B33" s="288" t="s">
        <v>111</v>
      </c>
      <c r="C33" s="289"/>
      <c r="D33" s="289"/>
      <c r="E33" s="290"/>
      <c r="F33" s="275" t="s">
        <v>286</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Carregador de Móveis</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610</v>
      </c>
      <c r="C76" s="278"/>
      <c r="D76" s="278"/>
      <c r="E76" s="278"/>
      <c r="F76" s="278"/>
      <c r="G76" s="26">
        <f>((5.5)*2*21)-6%*G46</f>
        <v>126.37860000000001</v>
      </c>
    </row>
    <row r="77" spans="1:7" ht="30" customHeight="1" x14ac:dyDescent="0.25">
      <c r="A77" s="12" t="s">
        <v>93</v>
      </c>
      <c r="B77" s="278" t="s">
        <v>613</v>
      </c>
      <c r="C77" s="278"/>
      <c r="D77" s="278"/>
      <c r="E77" s="278"/>
      <c r="F77" s="278"/>
      <c r="G77" s="26">
        <f>44.3*21</f>
        <v>930.3</v>
      </c>
    </row>
    <row r="78" spans="1:7" x14ac:dyDescent="0.25">
      <c r="A78" s="12" t="s">
        <v>96</v>
      </c>
      <c r="B78" s="364" t="s">
        <v>617</v>
      </c>
      <c r="C78" s="278"/>
      <c r="D78" s="278"/>
      <c r="E78" s="278"/>
      <c r="F78" s="278"/>
      <c r="G78" s="26">
        <v>0</v>
      </c>
    </row>
    <row r="79" spans="1:7" x14ac:dyDescent="0.25">
      <c r="A79" s="12" t="s">
        <v>98</v>
      </c>
      <c r="B79" s="364" t="s">
        <v>620</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623</v>
      </c>
      <c r="C81" s="364"/>
      <c r="D81" s="364"/>
      <c r="E81" s="364"/>
      <c r="F81" s="364"/>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88" t="s">
        <v>600</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Categoria'!O25</f>
        <v>94.145833333333329</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94.145833333333329</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124.12351714273092</v>
      </c>
    </row>
    <row r="141" spans="1:7" x14ac:dyDescent="0.25">
      <c r="A141" s="12" t="s">
        <v>93</v>
      </c>
      <c r="B141" s="278" t="s">
        <v>193</v>
      </c>
      <c r="C141" s="278"/>
      <c r="D141" s="278"/>
      <c r="E141" s="279">
        <v>0.05</v>
      </c>
      <c r="F141" s="280"/>
      <c r="G141" s="67">
        <f>(G47+G91+G101+G127+G135+G140)*E141</f>
        <v>130.32969299986746</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179.02834667148153</v>
      </c>
    </row>
    <row r="144" spans="1:7" x14ac:dyDescent="0.25">
      <c r="A144" s="71"/>
      <c r="B144" s="278" t="s">
        <v>196</v>
      </c>
      <c r="C144" s="278"/>
      <c r="D144" s="278"/>
      <c r="E144" s="279">
        <v>0.05</v>
      </c>
      <c r="F144" s="280"/>
      <c r="G144" s="67">
        <f>E144*G158</f>
        <v>245.24431050887884</v>
      </c>
    </row>
    <row r="145" spans="1:7" x14ac:dyDescent="0.25">
      <c r="A145" s="29"/>
      <c r="B145" s="281" t="s">
        <v>54</v>
      </c>
      <c r="C145" s="282"/>
      <c r="D145" s="283"/>
      <c r="E145" s="284">
        <f>E140+E141+E142</f>
        <v>0.1865</v>
      </c>
      <c r="F145" s="283"/>
      <c r="G145" s="72">
        <f>SUM(G140:G144)</f>
        <v>678.72586732295872</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94.145833333333329</v>
      </c>
    </row>
    <row r="156" spans="1:7" x14ac:dyDescent="0.25">
      <c r="A156" s="75"/>
      <c r="B156" s="266" t="s">
        <v>207</v>
      </c>
      <c r="C156" s="267"/>
      <c r="D156" s="267"/>
      <c r="E156" s="267"/>
      <c r="F156" s="268"/>
      <c r="G156" s="74">
        <f>SUM(G151:G155)</f>
        <v>4226.1603428546177</v>
      </c>
    </row>
    <row r="157" spans="1:7" x14ac:dyDescent="0.25">
      <c r="A157" s="76" t="s">
        <v>122</v>
      </c>
      <c r="B157" s="260" t="s">
        <v>208</v>
      </c>
      <c r="C157" s="261"/>
      <c r="D157" s="261"/>
      <c r="E157" s="261"/>
      <c r="F157" s="262"/>
      <c r="G157" s="74">
        <f>G145</f>
        <v>678.72586732295872</v>
      </c>
    </row>
    <row r="158" spans="1:7" x14ac:dyDescent="0.25">
      <c r="A158" s="77"/>
      <c r="B158" s="263" t="s">
        <v>209</v>
      </c>
      <c r="C158" s="264"/>
      <c r="D158" s="264"/>
      <c r="E158" s="264"/>
      <c r="F158" s="265"/>
      <c r="G158" s="78">
        <f>(G140+G141+G156)/(1-8.65/100)</f>
        <v>4904.8862101775767</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1"/>
  <sheetViews>
    <sheetView topLeftCell="A31" zoomScale="130" zoomScaleNormal="130" workbookViewId="0">
      <selection activeCell="G37" sqref="G37"/>
    </sheetView>
  </sheetViews>
  <sheetFormatPr defaultRowHeight="15" x14ac:dyDescent="0.25"/>
  <cols>
    <col min="2" max="2" width="10.5703125" customWidth="1"/>
    <col min="3" max="3" width="11.42578125" customWidth="1"/>
    <col min="4" max="4" width="11.7109375" customWidth="1"/>
    <col min="5" max="5" width="13.85546875" customWidth="1"/>
    <col min="6" max="6" width="12.140625" customWidth="1"/>
    <col min="7" max="7" width="15.5703125" customWidth="1"/>
    <col min="8" max="8" width="9.85546875" customWidth="1"/>
  </cols>
  <sheetData>
    <row r="1" spans="1:8" x14ac:dyDescent="0.25">
      <c r="A1" s="99" t="s">
        <v>0</v>
      </c>
      <c r="B1" s="99"/>
      <c r="C1" s="99"/>
      <c r="D1" s="99"/>
      <c r="E1" s="99"/>
      <c r="F1" s="100"/>
      <c r="G1" s="100"/>
    </row>
    <row r="2" spans="1:8" x14ac:dyDescent="0.25">
      <c r="A2" s="101" t="s">
        <v>287</v>
      </c>
      <c r="B2" s="101"/>
      <c r="C2" s="101"/>
      <c r="D2" s="101"/>
      <c r="E2" s="101"/>
      <c r="F2" s="100"/>
      <c r="G2" s="100"/>
    </row>
    <row r="3" spans="1:8" x14ac:dyDescent="0.25">
      <c r="A3" s="439" t="s">
        <v>288</v>
      </c>
      <c r="B3" s="439"/>
      <c r="C3" s="439"/>
      <c r="D3" s="439"/>
      <c r="E3" s="439"/>
      <c r="F3" s="439"/>
      <c r="G3" s="439"/>
    </row>
    <row r="4" spans="1:8" x14ac:dyDescent="0.25">
      <c r="A4" s="101" t="s">
        <v>289</v>
      </c>
      <c r="B4" s="101"/>
      <c r="C4" s="101"/>
      <c r="D4" s="101"/>
      <c r="E4" s="101"/>
      <c r="F4" s="100"/>
      <c r="G4" s="100"/>
    </row>
    <row r="5" spans="1:8" x14ac:dyDescent="0.25">
      <c r="A5" s="101" t="s">
        <v>290</v>
      </c>
      <c r="B5" s="101"/>
      <c r="C5" s="101"/>
      <c r="D5" s="101"/>
      <c r="E5" s="101"/>
      <c r="F5" s="100"/>
      <c r="G5" s="100"/>
    </row>
    <row r="6" spans="1:8" x14ac:dyDescent="0.25">
      <c r="A6" s="101"/>
      <c r="B6" s="101"/>
      <c r="C6" s="101"/>
      <c r="D6" s="101"/>
      <c r="E6" s="101"/>
      <c r="F6" s="100"/>
      <c r="G6" s="100"/>
    </row>
    <row r="7" spans="1:8" x14ac:dyDescent="0.25">
      <c r="A7" s="101"/>
      <c r="B7" s="101"/>
      <c r="C7" s="101"/>
      <c r="D7" s="101"/>
      <c r="E7" s="101"/>
      <c r="F7" s="100"/>
      <c r="G7" s="100"/>
    </row>
    <row r="8" spans="1:8" ht="44.25" customHeight="1" x14ac:dyDescent="0.25">
      <c r="A8" s="440" t="s">
        <v>291</v>
      </c>
      <c r="B8" s="441"/>
      <c r="C8" s="441"/>
      <c r="D8" s="441"/>
      <c r="E8" s="441"/>
      <c r="F8" s="441"/>
      <c r="G8" s="442"/>
    </row>
    <row r="9" spans="1:8" x14ac:dyDescent="0.25">
      <c r="A9" s="101"/>
      <c r="B9" s="101"/>
      <c r="C9" s="101"/>
      <c r="D9" s="101"/>
      <c r="E9" s="101"/>
      <c r="F9" s="100"/>
      <c r="G9" s="100"/>
    </row>
    <row r="10" spans="1:8" x14ac:dyDescent="0.25">
      <c r="A10" s="101"/>
      <c r="B10" s="101"/>
      <c r="C10" s="101"/>
      <c r="D10" s="101"/>
      <c r="E10" s="101"/>
      <c r="F10" s="100"/>
      <c r="G10" s="100"/>
    </row>
    <row r="13" spans="1:8" ht="15" customHeight="1" x14ac:dyDescent="0.25">
      <c r="A13" s="369" t="s">
        <v>292</v>
      </c>
      <c r="B13" s="443" t="s">
        <v>293</v>
      </c>
      <c r="C13" s="394"/>
      <c r="D13" s="394"/>
      <c r="E13" s="394"/>
      <c r="F13" s="394"/>
      <c r="G13" s="444"/>
    </row>
    <row r="14" spans="1:8" ht="59.25" customHeight="1" x14ac:dyDescent="0.25">
      <c r="A14" s="370"/>
      <c r="B14" s="445" t="s">
        <v>294</v>
      </c>
      <c r="C14" s="445"/>
      <c r="D14" s="445"/>
      <c r="E14" s="369" t="s">
        <v>296</v>
      </c>
      <c r="F14" s="446" t="s">
        <v>295</v>
      </c>
      <c r="G14" s="446"/>
    </row>
    <row r="15" spans="1:8" ht="42" customHeight="1" x14ac:dyDescent="0.25">
      <c r="A15" s="371"/>
      <c r="B15" s="445"/>
      <c r="C15" s="445"/>
      <c r="D15" s="445"/>
      <c r="E15" s="370"/>
      <c r="F15" s="150" t="s">
        <v>297</v>
      </c>
      <c r="G15" s="150" t="s">
        <v>295</v>
      </c>
    </row>
    <row r="16" spans="1:8" x14ac:dyDescent="0.25">
      <c r="A16" s="368" t="s">
        <v>54</v>
      </c>
      <c r="B16" s="102" t="s">
        <v>298</v>
      </c>
      <c r="C16" s="103">
        <f>G54</f>
        <v>14762.46</v>
      </c>
      <c r="D16" s="104" t="s">
        <v>299</v>
      </c>
      <c r="E16" s="371"/>
      <c r="F16" s="105">
        <f>G79</f>
        <v>2851.1009999999997</v>
      </c>
      <c r="G16" s="105">
        <f>G78</f>
        <v>7647.5760000000009</v>
      </c>
      <c r="H16" s="130"/>
    </row>
    <row r="17" spans="1:8" x14ac:dyDescent="0.25">
      <c r="A17" s="368"/>
      <c r="B17" s="102" t="s">
        <v>300</v>
      </c>
      <c r="C17" s="103">
        <f>G57</f>
        <v>892.79</v>
      </c>
      <c r="D17" s="103">
        <f>G70</f>
        <v>9837</v>
      </c>
      <c r="E17" s="103">
        <f>G74</f>
        <v>5304</v>
      </c>
      <c r="F17" s="380">
        <f>G81</f>
        <v>12303.967199999999</v>
      </c>
      <c r="G17" s="380"/>
      <c r="H17" s="130"/>
    </row>
    <row r="18" spans="1:8" x14ac:dyDescent="0.25">
      <c r="A18" s="368"/>
      <c r="B18" s="104" t="s">
        <v>365</v>
      </c>
      <c r="C18" s="103">
        <f>G60</f>
        <v>2474.0500000000002</v>
      </c>
      <c r="D18" s="103"/>
      <c r="E18" s="149"/>
      <c r="F18" s="113"/>
      <c r="G18" s="123"/>
    </row>
    <row r="19" spans="1:8" x14ac:dyDescent="0.25">
      <c r="A19" s="106"/>
      <c r="B19" s="106"/>
      <c r="D19" s="107"/>
      <c r="E19" s="108"/>
      <c r="F19" s="109"/>
      <c r="G19" s="110"/>
    </row>
    <row r="20" spans="1:8" x14ac:dyDescent="0.25">
      <c r="H20" s="175"/>
    </row>
    <row r="22" spans="1:8" x14ac:dyDescent="0.25">
      <c r="A22" s="381" t="s">
        <v>374</v>
      </c>
      <c r="B22" s="382"/>
      <c r="C22" s="382"/>
      <c r="D22" s="382"/>
      <c r="E22" s="382"/>
      <c r="F22" s="382"/>
      <c r="G22" s="383"/>
    </row>
    <row r="23" spans="1:8" x14ac:dyDescent="0.25">
      <c r="A23" s="447" t="s">
        <v>301</v>
      </c>
      <c r="B23" s="447"/>
      <c r="C23" s="447"/>
      <c r="D23" s="447"/>
      <c r="E23" s="447"/>
      <c r="F23" s="447"/>
      <c r="G23" s="447"/>
    </row>
    <row r="24" spans="1:8" x14ac:dyDescent="0.25">
      <c r="A24" s="384" t="s">
        <v>302</v>
      </c>
      <c r="B24" s="385"/>
      <c r="C24" s="386"/>
      <c r="D24" s="384" t="s">
        <v>303</v>
      </c>
      <c r="E24" s="386"/>
      <c r="F24" s="111" t="s">
        <v>304</v>
      </c>
      <c r="G24" s="402" t="s">
        <v>305</v>
      </c>
    </row>
    <row r="25" spans="1:8" x14ac:dyDescent="0.25">
      <c r="A25" s="413" t="s">
        <v>362</v>
      </c>
      <c r="B25" s="414"/>
      <c r="C25" s="415"/>
      <c r="D25" s="430" t="s">
        <v>584</v>
      </c>
      <c r="E25" s="431"/>
      <c r="F25" s="112">
        <f>C16/900</f>
        <v>16.402733333333334</v>
      </c>
      <c r="G25" s="403"/>
    </row>
    <row r="26" spans="1:8" x14ac:dyDescent="0.25">
      <c r="A26" s="413" t="s">
        <v>364</v>
      </c>
      <c r="B26" s="414"/>
      <c r="C26" s="415"/>
      <c r="D26" s="411" t="s">
        <v>585</v>
      </c>
      <c r="E26" s="412"/>
      <c r="F26" s="112">
        <f>C17/120</f>
        <v>7.4399166666666661</v>
      </c>
      <c r="G26" s="403"/>
    </row>
    <row r="27" spans="1:8" x14ac:dyDescent="0.25">
      <c r="A27" s="413" t="s">
        <v>363</v>
      </c>
      <c r="B27" s="414"/>
      <c r="C27" s="415"/>
      <c r="D27" s="411" t="s">
        <v>306</v>
      </c>
      <c r="E27" s="412"/>
      <c r="F27" s="112">
        <f>C18/1200</f>
        <v>2.0617083333333337</v>
      </c>
      <c r="G27" s="403"/>
    </row>
    <row r="28" spans="1:8" x14ac:dyDescent="0.25">
      <c r="A28" s="413" t="s">
        <v>299</v>
      </c>
      <c r="B28" s="414"/>
      <c r="C28" s="415"/>
      <c r="D28" s="430" t="s">
        <v>307</v>
      </c>
      <c r="E28" s="431"/>
      <c r="F28" s="112">
        <f>D17/6000</f>
        <v>1.6395</v>
      </c>
      <c r="G28" s="403"/>
    </row>
    <row r="29" spans="1:8" ht="32.450000000000003" customHeight="1" x14ac:dyDescent="0.25">
      <c r="A29" s="432" t="s">
        <v>308</v>
      </c>
      <c r="B29" s="433"/>
      <c r="C29" s="434"/>
      <c r="D29" s="436" t="s">
        <v>375</v>
      </c>
      <c r="E29" s="437"/>
      <c r="F29" s="112">
        <f>E17/300/15</f>
        <v>1.1786666666666668</v>
      </c>
      <c r="G29" s="403"/>
    </row>
    <row r="30" spans="1:8" ht="33.6" customHeight="1" x14ac:dyDescent="0.25">
      <c r="A30" s="420" t="s">
        <v>295</v>
      </c>
      <c r="B30" s="421"/>
      <c r="C30" s="422"/>
      <c r="D30" s="420" t="s">
        <v>376</v>
      </c>
      <c r="E30" s="438"/>
      <c r="F30" s="112">
        <f>F17/130/180</f>
        <v>0.5258105641025641</v>
      </c>
      <c r="G30" s="404"/>
    </row>
    <row r="31" spans="1:8" ht="18.75" customHeight="1" x14ac:dyDescent="0.25">
      <c r="A31" s="405" t="s">
        <v>309</v>
      </c>
      <c r="B31" s="405"/>
      <c r="C31" s="405"/>
      <c r="D31" s="405"/>
      <c r="E31" s="405"/>
      <c r="F31" s="112">
        <f>SUM(F25:F30)</f>
        <v>29.248335564102565</v>
      </c>
      <c r="G31" s="113">
        <v>30</v>
      </c>
    </row>
    <row r="32" spans="1:8" ht="15" customHeight="1" x14ac:dyDescent="0.25">
      <c r="A32" s="435" t="s">
        <v>587</v>
      </c>
      <c r="B32" s="435"/>
      <c r="C32" s="435"/>
      <c r="D32" s="435"/>
      <c r="E32" s="435"/>
      <c r="F32" s="435"/>
      <c r="G32" s="176">
        <v>31</v>
      </c>
    </row>
    <row r="33" spans="1:7" x14ac:dyDescent="0.25">
      <c r="A33" s="384" t="s">
        <v>310</v>
      </c>
      <c r="B33" s="385"/>
      <c r="C33" s="385"/>
      <c r="D33" s="385"/>
      <c r="E33" s="385"/>
      <c r="F33" s="385"/>
      <c r="G33" s="386"/>
    </row>
    <row r="34" spans="1:7" x14ac:dyDescent="0.25">
      <c r="A34" s="114"/>
      <c r="B34" s="115"/>
      <c r="C34" s="115"/>
      <c r="D34" s="406" t="s">
        <v>303</v>
      </c>
      <c r="E34" s="406"/>
      <c r="F34" s="111" t="s">
        <v>304</v>
      </c>
      <c r="G34" s="113" t="s">
        <v>311</v>
      </c>
    </row>
    <row r="35" spans="1:7" x14ac:dyDescent="0.25">
      <c r="A35" s="7"/>
      <c r="B35" s="7"/>
      <c r="C35" s="7"/>
      <c r="D35" s="426" t="s">
        <v>565</v>
      </c>
      <c r="E35" s="426"/>
      <c r="F35" s="112">
        <f>G32/31</f>
        <v>1</v>
      </c>
      <c r="G35" s="116">
        <v>1</v>
      </c>
    </row>
    <row r="39" spans="1:7" x14ac:dyDescent="0.25">
      <c r="E39" s="407" t="s">
        <v>312</v>
      </c>
      <c r="F39" s="408"/>
      <c r="G39" s="409"/>
    </row>
    <row r="40" spans="1:7" ht="30" customHeight="1" x14ac:dyDescent="0.25">
      <c r="A40" s="376" t="s">
        <v>590</v>
      </c>
      <c r="B40" s="376"/>
      <c r="C40" s="376"/>
      <c r="D40" s="376"/>
      <c r="E40" s="376"/>
      <c r="F40" s="376"/>
      <c r="G40" s="376"/>
    </row>
    <row r="41" spans="1:7" x14ac:dyDescent="0.25">
      <c r="A41" s="410" t="s">
        <v>313</v>
      </c>
      <c r="B41" s="410"/>
      <c r="C41" s="410"/>
      <c r="D41" s="410"/>
      <c r="E41" s="410"/>
      <c r="F41" s="410"/>
      <c r="G41" s="117">
        <f>1412</f>
        <v>1412</v>
      </c>
    </row>
    <row r="42" spans="1:7" x14ac:dyDescent="0.25">
      <c r="A42" s="417" t="s">
        <v>304</v>
      </c>
      <c r="B42" s="418"/>
      <c r="C42" s="418"/>
      <c r="D42" s="418"/>
      <c r="E42" s="418"/>
      <c r="F42" s="418"/>
      <c r="G42" s="419"/>
    </row>
    <row r="43" spans="1:7" x14ac:dyDescent="0.25">
      <c r="A43" s="372" t="s">
        <v>314</v>
      </c>
      <c r="B43" s="373"/>
      <c r="C43" s="373"/>
      <c r="D43" s="373"/>
      <c r="E43" s="373"/>
      <c r="F43" s="374"/>
      <c r="G43" s="118">
        <f>(G41*8)</f>
        <v>11296</v>
      </c>
    </row>
    <row r="44" spans="1:7" x14ac:dyDescent="0.25">
      <c r="A44" s="417" t="s">
        <v>553</v>
      </c>
      <c r="B44" s="418"/>
      <c r="C44" s="418"/>
      <c r="D44" s="418"/>
      <c r="E44" s="418"/>
      <c r="F44" s="419"/>
      <c r="G44" s="118"/>
    </row>
    <row r="45" spans="1:7" x14ac:dyDescent="0.25">
      <c r="A45" s="375" t="s">
        <v>315</v>
      </c>
      <c r="B45" s="375"/>
      <c r="C45" s="375"/>
      <c r="D45" s="375"/>
      <c r="E45" s="375"/>
      <c r="F45" s="375"/>
      <c r="G45" s="119">
        <f>G41-400-38</f>
        <v>974</v>
      </c>
    </row>
    <row r="46" spans="1:7" x14ac:dyDescent="0.25">
      <c r="A46" s="375" t="s">
        <v>316</v>
      </c>
      <c r="B46" s="375"/>
      <c r="C46" s="375"/>
      <c r="D46" s="375"/>
      <c r="E46" s="375"/>
      <c r="F46" s="375"/>
      <c r="G46" s="119">
        <f>G41-256</f>
        <v>1156</v>
      </c>
    </row>
    <row r="47" spans="1:7" x14ac:dyDescent="0.25">
      <c r="A47" s="372" t="s">
        <v>366</v>
      </c>
      <c r="B47" s="373"/>
      <c r="C47" s="373"/>
      <c r="D47" s="373"/>
      <c r="E47" s="373"/>
      <c r="F47" s="374"/>
      <c r="G47" s="120">
        <f>4196-2474</f>
        <v>1722</v>
      </c>
    </row>
    <row r="48" spans="1:7" x14ac:dyDescent="0.25">
      <c r="A48" s="375" t="s">
        <v>555</v>
      </c>
      <c r="B48" s="375"/>
      <c r="C48" s="375"/>
      <c r="D48" s="375"/>
      <c r="E48" s="375"/>
      <c r="F48" s="375"/>
      <c r="G48" s="121">
        <v>257</v>
      </c>
    </row>
    <row r="49" spans="1:7" x14ac:dyDescent="0.25">
      <c r="A49" s="375" t="s">
        <v>317</v>
      </c>
      <c r="B49" s="375"/>
      <c r="C49" s="375"/>
      <c r="D49" s="375"/>
      <c r="E49" s="375"/>
      <c r="F49" s="375"/>
      <c r="G49" s="121">
        <f>14.5*10.5</f>
        <v>152.25</v>
      </c>
    </row>
    <row r="50" spans="1:7" x14ac:dyDescent="0.25">
      <c r="A50" s="375" t="s">
        <v>318</v>
      </c>
      <c r="B50" s="375"/>
      <c r="C50" s="375"/>
      <c r="D50" s="375"/>
      <c r="E50" s="375"/>
      <c r="F50" s="375"/>
      <c r="G50" s="121">
        <v>400</v>
      </c>
    </row>
    <row r="51" spans="1:7" x14ac:dyDescent="0.25">
      <c r="A51" s="427" t="s">
        <v>367</v>
      </c>
      <c r="B51" s="428"/>
      <c r="C51" s="428"/>
      <c r="D51" s="428"/>
      <c r="E51" s="428"/>
      <c r="F51" s="429"/>
      <c r="G51" s="121">
        <v>892.79</v>
      </c>
    </row>
    <row r="52" spans="1:7" x14ac:dyDescent="0.25">
      <c r="A52" s="387" t="s">
        <v>368</v>
      </c>
      <c r="B52" s="388"/>
      <c r="C52" s="389"/>
      <c r="D52" s="389"/>
      <c r="E52" s="389"/>
      <c r="F52" s="390"/>
      <c r="G52" s="119">
        <f>SUM(G43:G50)-G51</f>
        <v>15064.46</v>
      </c>
    </row>
    <row r="53" spans="1:7" ht="32.25" customHeight="1" x14ac:dyDescent="0.25">
      <c r="A53" s="372" t="s">
        <v>319</v>
      </c>
      <c r="B53" s="373"/>
      <c r="C53" s="373"/>
      <c r="D53" s="373"/>
      <c r="E53" s="373"/>
      <c r="F53" s="374"/>
      <c r="G53" s="122">
        <v>302</v>
      </c>
    </row>
    <row r="54" spans="1:7" x14ac:dyDescent="0.25">
      <c r="A54" s="387" t="s">
        <v>320</v>
      </c>
      <c r="B54" s="388"/>
      <c r="C54" s="389"/>
      <c r="D54" s="389"/>
      <c r="E54" s="389"/>
      <c r="F54" s="390"/>
      <c r="G54" s="123">
        <f>G52-G53</f>
        <v>14762.46</v>
      </c>
    </row>
    <row r="55" spans="1:7" ht="33" customHeight="1" x14ac:dyDescent="0.25">
      <c r="A55" s="377"/>
      <c r="B55" s="378"/>
      <c r="C55" s="378"/>
      <c r="D55" s="378"/>
      <c r="E55" s="378"/>
      <c r="F55" s="378"/>
      <c r="G55" s="379"/>
    </row>
    <row r="56" spans="1:7" ht="20.25" customHeight="1" x14ac:dyDescent="0.25">
      <c r="A56" s="416" t="s">
        <v>586</v>
      </c>
      <c r="B56" s="416"/>
      <c r="C56" s="416"/>
      <c r="D56" s="416"/>
      <c r="E56" s="416"/>
      <c r="F56" s="416"/>
      <c r="G56" s="416"/>
    </row>
    <row r="57" spans="1:7" ht="18.75" customHeight="1" x14ac:dyDescent="0.25">
      <c r="A57" s="377"/>
      <c r="B57" s="378"/>
      <c r="C57" s="378"/>
      <c r="D57" s="378"/>
      <c r="E57" s="378"/>
      <c r="F57" s="378"/>
      <c r="G57" s="123">
        <f>G51</f>
        <v>892.79</v>
      </c>
    </row>
    <row r="58" spans="1:7" ht="18.75" customHeight="1" x14ac:dyDescent="0.25">
      <c r="A58" s="377"/>
      <c r="B58" s="378"/>
      <c r="C58" s="378"/>
      <c r="D58" s="378"/>
      <c r="E58" s="378"/>
      <c r="F58" s="378"/>
      <c r="G58" s="379"/>
    </row>
    <row r="59" spans="1:7" ht="33.6" customHeight="1" x14ac:dyDescent="0.25">
      <c r="A59" s="376" t="s">
        <v>594</v>
      </c>
      <c r="B59" s="376"/>
      <c r="C59" s="376"/>
      <c r="D59" s="376"/>
      <c r="E59" s="376"/>
      <c r="F59" s="376"/>
      <c r="G59" s="376"/>
    </row>
    <row r="60" spans="1:7" x14ac:dyDescent="0.25">
      <c r="A60" s="372" t="s">
        <v>369</v>
      </c>
      <c r="B60" s="373"/>
      <c r="C60" s="373"/>
      <c r="D60" s="373"/>
      <c r="E60" s="373"/>
      <c r="F60" s="374"/>
      <c r="G60" s="124">
        <f>4196.05-1722</f>
        <v>2474.0500000000002</v>
      </c>
    </row>
    <row r="61" spans="1:7" x14ac:dyDescent="0.25">
      <c r="A61" s="396"/>
      <c r="B61" s="397"/>
      <c r="C61" s="397"/>
      <c r="D61" s="397"/>
      <c r="E61" s="397"/>
      <c r="F61" s="397"/>
      <c r="G61" s="398"/>
    </row>
    <row r="62" spans="1:7" x14ac:dyDescent="0.25">
      <c r="A62" s="399"/>
      <c r="B62" s="400"/>
      <c r="C62" s="400"/>
      <c r="D62" s="400"/>
      <c r="E62" s="400"/>
      <c r="F62" s="400"/>
      <c r="G62" s="401"/>
    </row>
    <row r="63" spans="1:7" ht="33.75" customHeight="1" x14ac:dyDescent="0.25">
      <c r="A63" s="423" t="s">
        <v>370</v>
      </c>
      <c r="B63" s="424"/>
      <c r="C63" s="424"/>
      <c r="D63" s="424"/>
      <c r="E63" s="424"/>
      <c r="F63" s="424"/>
      <c r="G63" s="425"/>
    </row>
    <row r="64" spans="1:7" x14ac:dyDescent="0.25">
      <c r="A64" s="375" t="s">
        <v>321</v>
      </c>
      <c r="B64" s="375"/>
      <c r="C64" s="375"/>
      <c r="D64" s="375"/>
      <c r="E64" s="375"/>
      <c r="F64" s="375"/>
      <c r="G64" s="117">
        <f>(10*110)+(4.5*110)+(6*30)+(2)*(29*3)</f>
        <v>1949</v>
      </c>
    </row>
    <row r="65" spans="1:7" x14ac:dyDescent="0.25">
      <c r="A65" s="375" t="s">
        <v>322</v>
      </c>
      <c r="B65" s="375"/>
      <c r="C65" s="375"/>
      <c r="D65" s="375"/>
      <c r="E65" s="375"/>
      <c r="F65" s="375"/>
      <c r="G65" s="117">
        <f>(7.5*102)+(14*26)/2</f>
        <v>947</v>
      </c>
    </row>
    <row r="66" spans="1:7" x14ac:dyDescent="0.25">
      <c r="A66" s="375" t="s">
        <v>323</v>
      </c>
      <c r="B66" s="375"/>
      <c r="C66" s="375"/>
      <c r="D66" s="375"/>
      <c r="E66" s="375"/>
      <c r="F66" s="375"/>
      <c r="G66" s="117">
        <f>(38*105)</f>
        <v>3990</v>
      </c>
    </row>
    <row r="67" spans="1:7" x14ac:dyDescent="0.25">
      <c r="A67" s="375" t="s">
        <v>324</v>
      </c>
      <c r="B67" s="375"/>
      <c r="C67" s="375"/>
      <c r="D67" s="375"/>
      <c r="E67" s="375"/>
      <c r="F67" s="375"/>
      <c r="G67" s="117">
        <f>(105*12)</f>
        <v>1260</v>
      </c>
    </row>
    <row r="68" spans="1:7" x14ac:dyDescent="0.25">
      <c r="A68" s="375" t="s">
        <v>325</v>
      </c>
      <c r="B68" s="375"/>
      <c r="C68" s="375"/>
      <c r="D68" s="375"/>
      <c r="E68" s="375"/>
      <c r="F68" s="375"/>
      <c r="G68" s="117">
        <f>(9*31)</f>
        <v>279</v>
      </c>
    </row>
    <row r="69" spans="1:7" x14ac:dyDescent="0.25">
      <c r="A69" s="375" t="s">
        <v>326</v>
      </c>
      <c r="B69" s="375"/>
      <c r="C69" s="375"/>
      <c r="D69" s="375"/>
      <c r="E69" s="375"/>
      <c r="F69" s="375"/>
      <c r="G69" s="117">
        <f>G41</f>
        <v>1412</v>
      </c>
    </row>
    <row r="70" spans="1:7" x14ac:dyDescent="0.25">
      <c r="A70" s="387" t="s">
        <v>327</v>
      </c>
      <c r="B70" s="388"/>
      <c r="C70" s="389"/>
      <c r="D70" s="389"/>
      <c r="E70" s="389"/>
      <c r="F70" s="390"/>
      <c r="G70" s="125">
        <f>SUM(G64:G69)</f>
        <v>9837</v>
      </c>
    </row>
    <row r="71" spans="1:7" x14ac:dyDescent="0.25">
      <c r="A71" s="396"/>
      <c r="B71" s="397"/>
      <c r="C71" s="397"/>
      <c r="D71" s="397"/>
      <c r="E71" s="397"/>
      <c r="F71" s="397"/>
      <c r="G71" s="398"/>
    </row>
    <row r="72" spans="1:7" x14ac:dyDescent="0.25">
      <c r="A72" s="399"/>
      <c r="B72" s="400"/>
      <c r="C72" s="400"/>
      <c r="D72" s="400"/>
      <c r="E72" s="400"/>
      <c r="F72" s="400"/>
      <c r="G72" s="401"/>
    </row>
    <row r="73" spans="1:7" x14ac:dyDescent="0.25">
      <c r="A73" s="423" t="s">
        <v>373</v>
      </c>
      <c r="B73" s="424"/>
      <c r="C73" s="424"/>
      <c r="D73" s="424"/>
      <c r="E73" s="424"/>
      <c r="F73" s="424"/>
      <c r="G73" s="425"/>
    </row>
    <row r="74" spans="1:7" ht="33.75" customHeight="1" x14ac:dyDescent="0.25">
      <c r="A74" s="420" t="s">
        <v>328</v>
      </c>
      <c r="B74" s="421"/>
      <c r="C74" s="421"/>
      <c r="D74" s="421"/>
      <c r="E74" s="421"/>
      <c r="F74" s="422"/>
      <c r="G74" s="126">
        <f>8*(3*102)*2 + 2*(1*102)*2</f>
        <v>5304</v>
      </c>
    </row>
    <row r="75" spans="1:7" x14ac:dyDescent="0.25">
      <c r="A75" s="394"/>
      <c r="B75" s="394"/>
      <c r="C75" s="394"/>
      <c r="D75" s="394"/>
      <c r="E75" s="394"/>
      <c r="F75" s="394"/>
      <c r="G75" s="394"/>
    </row>
    <row r="76" spans="1:7" x14ac:dyDescent="0.25">
      <c r="A76" s="395"/>
      <c r="B76" s="395"/>
      <c r="C76" s="395"/>
      <c r="D76" s="395"/>
      <c r="E76" s="395"/>
      <c r="F76" s="395"/>
      <c r="G76" s="395"/>
    </row>
    <row r="77" spans="1:7" x14ac:dyDescent="0.25">
      <c r="A77" s="376" t="s">
        <v>371</v>
      </c>
      <c r="B77" s="376"/>
      <c r="C77" s="376"/>
      <c r="D77" s="376"/>
      <c r="E77" s="376"/>
      <c r="F77" s="376"/>
      <c r="G77" s="376"/>
    </row>
    <row r="78" spans="1:7" x14ac:dyDescent="0.25">
      <c r="A78" s="420" t="s">
        <v>329</v>
      </c>
      <c r="B78" s="421"/>
      <c r="C78" s="421"/>
      <c r="D78" s="421"/>
      <c r="E78" s="421"/>
      <c r="F78" s="422"/>
      <c r="G78" s="127">
        <f>2*(37.2*102.79)</f>
        <v>7647.5760000000009</v>
      </c>
    </row>
    <row r="79" spans="1:7" x14ac:dyDescent="0.25">
      <c r="A79" s="420" t="s">
        <v>330</v>
      </c>
      <c r="B79" s="421"/>
      <c r="C79" s="421"/>
      <c r="D79" s="421"/>
      <c r="E79" s="421"/>
      <c r="F79" s="422"/>
      <c r="G79" s="128">
        <f>10*2.79*102.19</f>
        <v>2851.1009999999997</v>
      </c>
    </row>
    <row r="80" spans="1:7" x14ac:dyDescent="0.25">
      <c r="A80" s="420" t="s">
        <v>331</v>
      </c>
      <c r="B80" s="421"/>
      <c r="C80" s="421"/>
      <c r="D80" s="421"/>
      <c r="E80" s="421"/>
      <c r="F80" s="422"/>
      <c r="G80" s="128">
        <f>102.69*17.58</f>
        <v>1805.2901999999997</v>
      </c>
    </row>
    <row r="81" spans="1:7" x14ac:dyDescent="0.25">
      <c r="A81" s="391" t="s">
        <v>309</v>
      </c>
      <c r="B81" s="392"/>
      <c r="C81" s="393"/>
      <c r="D81" s="393"/>
      <c r="E81" s="393"/>
      <c r="F81" s="393"/>
      <c r="G81" s="129">
        <f>SUM(G78:G80)</f>
        <v>12303.967199999999</v>
      </c>
    </row>
  </sheetData>
  <mergeCells count="71">
    <mergeCell ref="A23:G23"/>
    <mergeCell ref="A25:C25"/>
    <mergeCell ref="D25:E25"/>
    <mergeCell ref="A26:C26"/>
    <mergeCell ref="D26:E26"/>
    <mergeCell ref="A3:G3"/>
    <mergeCell ref="A8:G8"/>
    <mergeCell ref="A13:A15"/>
    <mergeCell ref="B13:G13"/>
    <mergeCell ref="B14:D15"/>
    <mergeCell ref="F14:G14"/>
    <mergeCell ref="D28:E28"/>
    <mergeCell ref="A29:C29"/>
    <mergeCell ref="A45:F45"/>
    <mergeCell ref="A46:F46"/>
    <mergeCell ref="A47:F47"/>
    <mergeCell ref="A32:F32"/>
    <mergeCell ref="D29:E29"/>
    <mergeCell ref="A30:C30"/>
    <mergeCell ref="D30:E30"/>
    <mergeCell ref="A28:C28"/>
    <mergeCell ref="A44:F44"/>
    <mergeCell ref="A48:F48"/>
    <mergeCell ref="A33:G33"/>
    <mergeCell ref="D35:E35"/>
    <mergeCell ref="A57:F57"/>
    <mergeCell ref="A63:G63"/>
    <mergeCell ref="A58:G58"/>
    <mergeCell ref="A49:F49"/>
    <mergeCell ref="A50:F50"/>
    <mergeCell ref="A52:F52"/>
    <mergeCell ref="A53:F53"/>
    <mergeCell ref="A54:F54"/>
    <mergeCell ref="A51:F51"/>
    <mergeCell ref="A79:F79"/>
    <mergeCell ref="A80:F80"/>
    <mergeCell ref="A73:G73"/>
    <mergeCell ref="A74:F74"/>
    <mergeCell ref="A65:F65"/>
    <mergeCell ref="A81:F81"/>
    <mergeCell ref="A75:G76"/>
    <mergeCell ref="A71:G72"/>
    <mergeCell ref="A61:G62"/>
    <mergeCell ref="G24:G30"/>
    <mergeCell ref="A31:E31"/>
    <mergeCell ref="D34:E34"/>
    <mergeCell ref="E39:G39"/>
    <mergeCell ref="A41:F41"/>
    <mergeCell ref="D27:E27"/>
    <mergeCell ref="A27:C27"/>
    <mergeCell ref="A40:G40"/>
    <mergeCell ref="A56:G56"/>
    <mergeCell ref="A42:G42"/>
    <mergeCell ref="A43:F43"/>
    <mergeCell ref="A78:F78"/>
    <mergeCell ref="A16:A18"/>
    <mergeCell ref="E14:E16"/>
    <mergeCell ref="A60:F60"/>
    <mergeCell ref="A64:F64"/>
    <mergeCell ref="A77:G77"/>
    <mergeCell ref="A55:G55"/>
    <mergeCell ref="A59:G59"/>
    <mergeCell ref="F17:G17"/>
    <mergeCell ref="A22:G22"/>
    <mergeCell ref="A24:C24"/>
    <mergeCell ref="D24:E24"/>
    <mergeCell ref="A66:F66"/>
    <mergeCell ref="A67:F67"/>
    <mergeCell ref="A68:F68"/>
    <mergeCell ref="A69:F69"/>
    <mergeCell ref="A70:F70"/>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67"/>
  <sheetViews>
    <sheetView topLeftCell="A53" zoomScale="90" zoomScaleNormal="90" workbookViewId="0">
      <selection activeCell="G46" sqref="G46"/>
    </sheetView>
  </sheetViews>
  <sheetFormatPr defaultRowHeight="15" x14ac:dyDescent="0.25"/>
  <cols>
    <col min="1" max="1" width="15.7109375" customWidth="1"/>
    <col min="2" max="2" width="14.42578125" customWidth="1"/>
    <col min="3" max="7" width="15.7109375" customWidth="1"/>
  </cols>
  <sheetData>
    <row r="1" spans="1:7" x14ac:dyDescent="0.25">
      <c r="A1" s="515" t="s">
        <v>0</v>
      </c>
      <c r="B1" s="515"/>
      <c r="C1" s="515"/>
      <c r="D1" s="515"/>
      <c r="E1" s="515"/>
      <c r="F1" s="515"/>
      <c r="G1" s="515"/>
    </row>
    <row r="2" spans="1:7" x14ac:dyDescent="0.25">
      <c r="A2" s="516" t="s">
        <v>287</v>
      </c>
      <c r="B2" s="516"/>
      <c r="C2" s="516"/>
      <c r="D2" s="516"/>
      <c r="E2" s="516"/>
      <c r="F2" s="516"/>
      <c r="G2" s="516"/>
    </row>
    <row r="3" spans="1:7" x14ac:dyDescent="0.25">
      <c r="A3" s="516" t="s">
        <v>288</v>
      </c>
      <c r="B3" s="516"/>
      <c r="C3" s="516"/>
      <c r="D3" s="516"/>
      <c r="E3" s="516"/>
      <c r="F3" s="516"/>
      <c r="G3" s="516"/>
    </row>
    <row r="4" spans="1:7" x14ac:dyDescent="0.25">
      <c r="A4" s="516" t="s">
        <v>289</v>
      </c>
      <c r="B4" s="516"/>
      <c r="C4" s="516"/>
      <c r="D4" s="516"/>
      <c r="E4" s="516"/>
      <c r="F4" s="516"/>
      <c r="G4" s="516"/>
    </row>
    <row r="5" spans="1:7" x14ac:dyDescent="0.25">
      <c r="A5" s="516" t="s">
        <v>290</v>
      </c>
      <c r="B5" s="516"/>
      <c r="C5" s="516"/>
      <c r="D5" s="516"/>
      <c r="E5" s="516"/>
      <c r="F5" s="516"/>
      <c r="G5" s="516"/>
    </row>
    <row r="6" spans="1:7" x14ac:dyDescent="0.25">
      <c r="A6" s="131"/>
      <c r="B6" s="131"/>
      <c r="C6" s="131"/>
      <c r="D6" s="131"/>
      <c r="E6" s="131"/>
      <c r="F6" s="131"/>
      <c r="G6" s="131"/>
    </row>
    <row r="7" spans="1:7" x14ac:dyDescent="0.25">
      <c r="A7" s="131"/>
      <c r="B7" s="131"/>
      <c r="C7" s="131"/>
      <c r="D7" s="131"/>
      <c r="E7" s="131"/>
      <c r="F7" s="131"/>
      <c r="G7" s="131"/>
    </row>
    <row r="8" spans="1:7" ht="33.950000000000003" customHeight="1" x14ac:dyDescent="0.25">
      <c r="A8" s="517" t="s">
        <v>332</v>
      </c>
      <c r="B8" s="518"/>
      <c r="C8" s="518"/>
      <c r="D8" s="518"/>
      <c r="E8" s="518"/>
      <c r="F8" s="518"/>
      <c r="G8" s="519"/>
    </row>
    <row r="9" spans="1:7" x14ac:dyDescent="0.25">
      <c r="C9" s="81"/>
      <c r="D9" s="81"/>
    </row>
    <row r="10" spans="1:7" ht="15.75" thickBot="1" x14ac:dyDescent="0.3">
      <c r="C10" s="81"/>
      <c r="D10" s="81"/>
    </row>
    <row r="11" spans="1:7" ht="16.5" thickBot="1" x14ac:dyDescent="0.3">
      <c r="A11" s="520" t="s">
        <v>333</v>
      </c>
      <c r="B11" s="521"/>
      <c r="C11" s="521"/>
      <c r="D11" s="521"/>
      <c r="E11" s="521"/>
      <c r="F11" s="521"/>
      <c r="G11" s="522"/>
    </row>
    <row r="12" spans="1:7" ht="16.5" thickBot="1" x14ac:dyDescent="0.3">
      <c r="A12" s="523"/>
      <c r="B12" s="523"/>
      <c r="C12" s="523"/>
      <c r="D12" s="523"/>
      <c r="E12" s="523"/>
      <c r="F12" s="523"/>
      <c r="G12" s="523"/>
    </row>
    <row r="13" spans="1:7" x14ac:dyDescent="0.25">
      <c r="A13" s="493" t="str">
        <f>'Levantamento de Áreas'!A40:G40</f>
        <v>Área Interna - I - Produtividade: 1servente/900m² - Pisos Frios e Acarpetados (IN 5/2017)</v>
      </c>
      <c r="B13" s="494"/>
      <c r="C13" s="494"/>
      <c r="D13" s="494"/>
      <c r="E13" s="494"/>
      <c r="F13" s="494"/>
      <c r="G13" s="495"/>
    </row>
    <row r="14" spans="1:7" x14ac:dyDescent="0.25">
      <c r="A14" s="132" t="s">
        <v>334</v>
      </c>
      <c r="B14" s="509" t="s">
        <v>335</v>
      </c>
      <c r="C14" s="510"/>
      <c r="D14" s="509" t="s">
        <v>336</v>
      </c>
      <c r="E14" s="510"/>
      <c r="F14" s="509" t="s">
        <v>337</v>
      </c>
      <c r="G14" s="511"/>
    </row>
    <row r="15" spans="1:7" x14ac:dyDescent="0.25">
      <c r="A15" s="133" t="s">
        <v>310</v>
      </c>
      <c r="B15" s="458" t="s">
        <v>592</v>
      </c>
      <c r="C15" s="459"/>
      <c r="D15" s="460">
        <f>Encarregado!G158</f>
        <v>8199.0812688730912</v>
      </c>
      <c r="E15" s="461"/>
      <c r="F15" s="460">
        <f>1/(30*900)*D15</f>
        <v>0.30366967662492927</v>
      </c>
      <c r="G15" s="462"/>
    </row>
    <row r="16" spans="1:7" x14ac:dyDescent="0.25">
      <c r="A16" s="133" t="s">
        <v>301</v>
      </c>
      <c r="B16" s="463" t="s">
        <v>591</v>
      </c>
      <c r="C16" s="464"/>
      <c r="D16" s="460">
        <f>Servente!G158</f>
        <v>4917.4903245976393</v>
      </c>
      <c r="E16" s="461"/>
      <c r="F16" s="460">
        <f>(1/900)*D16</f>
        <v>5.4638781384418218</v>
      </c>
      <c r="G16" s="462"/>
    </row>
    <row r="17" spans="1:7" ht="15.75" thickBot="1" x14ac:dyDescent="0.3">
      <c r="A17" s="465" t="s">
        <v>54</v>
      </c>
      <c r="B17" s="466"/>
      <c r="C17" s="466"/>
      <c r="D17" s="466"/>
      <c r="E17" s="467"/>
      <c r="F17" s="504">
        <f>SUM(F15:G16)</f>
        <v>5.7675478150667514</v>
      </c>
      <c r="G17" s="505"/>
    </row>
    <row r="18" spans="1:7" x14ac:dyDescent="0.25">
      <c r="A18" s="493" t="str">
        <f>'Levantamento de Áreas'!A56:G56</f>
        <v>Área Interna - II - Produtividade: 1servente/100m² - Banheiros - (IN 5/2017)</v>
      </c>
      <c r="B18" s="494"/>
      <c r="C18" s="494"/>
      <c r="D18" s="494"/>
      <c r="E18" s="494"/>
      <c r="F18" s="494"/>
      <c r="G18" s="495"/>
    </row>
    <row r="19" spans="1:7" x14ac:dyDescent="0.25">
      <c r="A19" s="133" t="s">
        <v>310</v>
      </c>
      <c r="B19" s="458" t="s">
        <v>588</v>
      </c>
      <c r="C19" s="459"/>
      <c r="D19" s="460">
        <f>D15</f>
        <v>8199.0812688730912</v>
      </c>
      <c r="E19" s="461"/>
      <c r="F19" s="460">
        <f>1/(30*100)*D19</f>
        <v>2.7330270896243638</v>
      </c>
      <c r="G19" s="462"/>
    </row>
    <row r="20" spans="1:7" x14ac:dyDescent="0.25">
      <c r="A20" s="133" t="s">
        <v>560</v>
      </c>
      <c r="B20" s="463" t="s">
        <v>589</v>
      </c>
      <c r="C20" s="464"/>
      <c r="D20" s="460">
        <f>'Ag. Higienização de Banheiros'!G158</f>
        <v>6097.8730572878831</v>
      </c>
      <c r="E20" s="461"/>
      <c r="F20" s="460">
        <f>(1/100)*D20</f>
        <v>60.978730572878831</v>
      </c>
      <c r="G20" s="462"/>
    </row>
    <row r="21" spans="1:7" ht="15.75" thickBot="1" x14ac:dyDescent="0.3">
      <c r="A21" s="465" t="s">
        <v>54</v>
      </c>
      <c r="B21" s="466"/>
      <c r="C21" s="466"/>
      <c r="D21" s="466"/>
      <c r="E21" s="467"/>
      <c r="F21" s="504">
        <f>SUM(F19:G20)</f>
        <v>63.711757662503196</v>
      </c>
      <c r="G21" s="505"/>
    </row>
    <row r="22" spans="1:7" ht="15.75" thickBot="1" x14ac:dyDescent="0.3">
      <c r="A22" s="508"/>
      <c r="B22" s="508"/>
      <c r="C22" s="508"/>
      <c r="D22" s="508"/>
      <c r="E22" s="508"/>
      <c r="F22" s="508"/>
      <c r="G22" s="508"/>
    </row>
    <row r="23" spans="1:7" ht="15.75" thickBot="1" x14ac:dyDescent="0.3">
      <c r="A23" s="457" t="str">
        <f>'Levantamento de Áreas'!A59:G59</f>
        <v>Área Interna - III - Produtividade: 1servente/1.200m² - Piso Liso da Garagem (áreas com espaço livre) - (IN 5/2017)</v>
      </c>
      <c r="B23" s="457"/>
      <c r="C23" s="457"/>
      <c r="D23" s="457"/>
      <c r="E23" s="457"/>
      <c r="F23" s="457"/>
      <c r="G23" s="457"/>
    </row>
    <row r="24" spans="1:7" x14ac:dyDescent="0.25">
      <c r="A24" s="133" t="s">
        <v>310</v>
      </c>
      <c r="B24" s="458" t="s">
        <v>532</v>
      </c>
      <c r="C24" s="459"/>
      <c r="D24" s="460">
        <f>D15</f>
        <v>8199.0812688730912</v>
      </c>
      <c r="E24" s="461"/>
      <c r="F24" s="460">
        <f>1/(30*1200)*D24</f>
        <v>0.22775225746869698</v>
      </c>
      <c r="G24" s="462"/>
    </row>
    <row r="25" spans="1:7" x14ac:dyDescent="0.25">
      <c r="A25" s="133" t="s">
        <v>301</v>
      </c>
      <c r="B25" s="463" t="s">
        <v>372</v>
      </c>
      <c r="C25" s="464"/>
      <c r="D25" s="460">
        <f>D16</f>
        <v>4917.4903245976393</v>
      </c>
      <c r="E25" s="461"/>
      <c r="F25" s="460">
        <f>(1/1200)*D25</f>
        <v>4.0979086038313666</v>
      </c>
      <c r="G25" s="462"/>
    </row>
    <row r="26" spans="1:7" ht="15.75" thickBot="1" x14ac:dyDescent="0.3">
      <c r="A26" s="465" t="s">
        <v>54</v>
      </c>
      <c r="B26" s="466"/>
      <c r="C26" s="466"/>
      <c r="D26" s="466"/>
      <c r="E26" s="467"/>
      <c r="F26" s="504">
        <f>SUM(F24:G25)</f>
        <v>4.3256608613000633</v>
      </c>
      <c r="G26" s="505"/>
    </row>
    <row r="27" spans="1:7" ht="15.75" thickBot="1" x14ac:dyDescent="0.3">
      <c r="A27" s="512"/>
      <c r="B27" s="513"/>
      <c r="C27" s="513"/>
      <c r="D27" s="513"/>
      <c r="E27" s="513"/>
      <c r="F27" s="513"/>
      <c r="G27" s="514"/>
    </row>
    <row r="28" spans="1:7" x14ac:dyDescent="0.25">
      <c r="A28" s="493" t="str">
        <f>'Levantamento de Áreas'!A63:G63</f>
        <v>Área Externa - Produtividade 1 servente/6.000 m² - varrição de passeios - (IN 5/2017)</v>
      </c>
      <c r="B28" s="494"/>
      <c r="C28" s="494"/>
      <c r="D28" s="494"/>
      <c r="E28" s="494"/>
      <c r="F28" s="494"/>
      <c r="G28" s="495"/>
    </row>
    <row r="29" spans="1:7" x14ac:dyDescent="0.25">
      <c r="A29" s="132" t="s">
        <v>334</v>
      </c>
      <c r="B29" s="509" t="s">
        <v>335</v>
      </c>
      <c r="C29" s="510"/>
      <c r="D29" s="509" t="s">
        <v>336</v>
      </c>
      <c r="E29" s="510"/>
      <c r="F29" s="509" t="s">
        <v>337</v>
      </c>
      <c r="G29" s="511"/>
    </row>
    <row r="30" spans="1:7" x14ac:dyDescent="0.25">
      <c r="A30" s="133" t="s">
        <v>310</v>
      </c>
      <c r="B30" s="458" t="s">
        <v>530</v>
      </c>
      <c r="C30" s="459"/>
      <c r="D30" s="460">
        <f>D15</f>
        <v>8199.0812688730912</v>
      </c>
      <c r="E30" s="461"/>
      <c r="F30" s="460">
        <f>1/(30*6000)*D30</f>
        <v>4.5550451493739395E-2</v>
      </c>
      <c r="G30" s="462"/>
    </row>
    <row r="31" spans="1:7" x14ac:dyDescent="0.25">
      <c r="A31" s="133" t="s">
        <v>301</v>
      </c>
      <c r="B31" s="506" t="s">
        <v>338</v>
      </c>
      <c r="C31" s="507"/>
      <c r="D31" s="460">
        <f>D16</f>
        <v>4917.4903245976393</v>
      </c>
      <c r="E31" s="461"/>
      <c r="F31" s="460">
        <f>(1/6000)*D31</f>
        <v>0.81958172076627323</v>
      </c>
      <c r="G31" s="462"/>
    </row>
    <row r="32" spans="1:7" ht="15.75" thickBot="1" x14ac:dyDescent="0.3">
      <c r="A32" s="465" t="s">
        <v>54</v>
      </c>
      <c r="B32" s="466"/>
      <c r="C32" s="466"/>
      <c r="D32" s="466"/>
      <c r="E32" s="467"/>
      <c r="F32" s="504">
        <f>SUM(F30:G31)</f>
        <v>0.8651321722600126</v>
      </c>
      <c r="G32" s="505"/>
    </row>
    <row r="33" spans="1:7" ht="16.5" thickBot="1" x14ac:dyDescent="0.3">
      <c r="A33" s="134"/>
      <c r="B33" s="134"/>
      <c r="C33" s="134"/>
      <c r="D33" s="134"/>
      <c r="G33" s="134"/>
    </row>
    <row r="34" spans="1:7" x14ac:dyDescent="0.25">
      <c r="A34" s="493" t="str">
        <f>'Levantamento de Áreas'!A73:G73</f>
        <v>Esquadria - Face Interna - Produtividade 1servente/300m² - (IN 5/2017)</v>
      </c>
      <c r="B34" s="494"/>
      <c r="C34" s="494"/>
      <c r="D34" s="494"/>
      <c r="E34" s="494"/>
      <c r="F34" s="494"/>
      <c r="G34" s="495"/>
    </row>
    <row r="35" spans="1:7" ht="57" x14ac:dyDescent="0.25">
      <c r="A35" s="135" t="s">
        <v>334</v>
      </c>
      <c r="B35" s="136" t="s">
        <v>339</v>
      </c>
      <c r="C35" s="136" t="s">
        <v>340</v>
      </c>
      <c r="D35" s="136" t="s">
        <v>341</v>
      </c>
      <c r="E35" s="136" t="s">
        <v>342</v>
      </c>
      <c r="F35" s="136" t="s">
        <v>343</v>
      </c>
      <c r="G35" s="137" t="s">
        <v>344</v>
      </c>
    </row>
    <row r="36" spans="1:7" x14ac:dyDescent="0.25">
      <c r="A36" s="133" t="s">
        <v>310</v>
      </c>
      <c r="B36" s="138" t="s">
        <v>529</v>
      </c>
      <c r="C36" s="139">
        <v>16</v>
      </c>
      <c r="D36" s="140" t="s">
        <v>378</v>
      </c>
      <c r="E36" s="141">
        <f>1/(30*300)*(16)*1/191.7143</f>
        <v>9.2730577623984114E-6</v>
      </c>
      <c r="F36" s="140">
        <f>D30</f>
        <v>8199.0812688730912</v>
      </c>
      <c r="G36" s="142">
        <f>E36*F36</f>
        <v>7.6030554204859033E-2</v>
      </c>
    </row>
    <row r="37" spans="1:7" x14ac:dyDescent="0.25">
      <c r="A37" s="133" t="s">
        <v>301</v>
      </c>
      <c r="B37" s="143" t="s">
        <v>360</v>
      </c>
      <c r="C37" s="143">
        <v>16</v>
      </c>
      <c r="D37" s="143" t="s">
        <v>379</v>
      </c>
      <c r="E37" s="141">
        <f>(1/300)*(16)*(1/191.7143)</f>
        <v>2.7819173287195237E-4</v>
      </c>
      <c r="F37" s="140">
        <f>D31</f>
        <v>4917.4903245976393</v>
      </c>
      <c r="G37" s="142">
        <f>E37*F37</f>
        <v>1.3680051547808769</v>
      </c>
    </row>
    <row r="38" spans="1:7" ht="15.75" thickBot="1" x14ac:dyDescent="0.3">
      <c r="A38" s="489" t="s">
        <v>54</v>
      </c>
      <c r="B38" s="466"/>
      <c r="C38" s="466"/>
      <c r="D38" s="466"/>
      <c r="E38" s="466"/>
      <c r="F38" s="467"/>
      <c r="G38" s="144">
        <f>SUM(G36:G37)</f>
        <v>1.4440357089857359</v>
      </c>
    </row>
    <row r="39" spans="1:7" ht="15.75" thickBot="1" x14ac:dyDescent="0.3">
      <c r="A39" s="145" t="s">
        <v>377</v>
      </c>
      <c r="B39" s="502" t="s">
        <v>380</v>
      </c>
      <c r="C39" s="503"/>
      <c r="D39" s="503"/>
      <c r="E39" s="503"/>
      <c r="F39" s="503"/>
      <c r="G39" s="151"/>
    </row>
    <row r="40" spans="1:7" ht="15.75" thickBot="1" x14ac:dyDescent="0.3">
      <c r="A40" s="490"/>
      <c r="B40" s="491"/>
      <c r="C40" s="491"/>
      <c r="D40" s="491"/>
      <c r="E40" s="491"/>
      <c r="F40" s="491"/>
      <c r="G40" s="492"/>
    </row>
    <row r="41" spans="1:7" x14ac:dyDescent="0.25">
      <c r="A41" s="493" t="str">
        <f>'Levantamento de Áreas'!A77:G77</f>
        <v>Fachada Envidraçada - Face Externa - Produtividade 1servente /130m² - (IN 5/2017)</v>
      </c>
      <c r="B41" s="494"/>
      <c r="C41" s="494"/>
      <c r="D41" s="494"/>
      <c r="E41" s="494"/>
      <c r="F41" s="494"/>
      <c r="G41" s="495"/>
    </row>
    <row r="42" spans="1:7" ht="66.95" customHeight="1" x14ac:dyDescent="0.25">
      <c r="A42" s="135" t="s">
        <v>334</v>
      </c>
      <c r="B42" s="136" t="s">
        <v>339</v>
      </c>
      <c r="C42" s="136" t="s">
        <v>340</v>
      </c>
      <c r="D42" s="136" t="s">
        <v>382</v>
      </c>
      <c r="E42" s="136" t="s">
        <v>342</v>
      </c>
      <c r="F42" s="136" t="s">
        <v>343</v>
      </c>
      <c r="G42" s="137" t="s">
        <v>344</v>
      </c>
    </row>
    <row r="43" spans="1:7" x14ac:dyDescent="0.25">
      <c r="A43" s="133" t="s">
        <v>310</v>
      </c>
      <c r="B43" s="145" t="s">
        <v>554</v>
      </c>
      <c r="C43" s="143">
        <v>8</v>
      </c>
      <c r="D43" s="143" t="s">
        <v>383</v>
      </c>
      <c r="E43" s="141">
        <f>2/(4*130)*8*1/1150.29</f>
        <v>2.6749107415721924E-5</v>
      </c>
      <c r="F43" s="140">
        <f>F36</f>
        <v>8199.0812688730912</v>
      </c>
      <c r="G43" s="142">
        <f>E43*F43</f>
        <v>0.21931810557131992</v>
      </c>
    </row>
    <row r="44" spans="1:7" x14ac:dyDescent="0.25">
      <c r="A44" s="133" t="s">
        <v>51</v>
      </c>
      <c r="B44" s="143" t="s">
        <v>361</v>
      </c>
      <c r="C44" s="143">
        <v>8</v>
      </c>
      <c r="D44" s="143" t="s">
        <v>381</v>
      </c>
      <c r="E44" s="141">
        <f>1/130*8*1/1150.29</f>
        <v>5.3498214831443848E-5</v>
      </c>
      <c r="F44" s="140">
        <f>Jauzeiro!G158</f>
        <v>6757.8289076367964</v>
      </c>
      <c r="G44" s="142">
        <f>E44*F44</f>
        <v>0.36153178269489483</v>
      </c>
    </row>
    <row r="45" spans="1:7" x14ac:dyDescent="0.25">
      <c r="A45" s="489" t="s">
        <v>54</v>
      </c>
      <c r="B45" s="496"/>
      <c r="C45" s="496"/>
      <c r="D45" s="496"/>
      <c r="E45" s="496"/>
      <c r="F45" s="497"/>
      <c r="G45" s="152">
        <f>SUM(G43:G44)</f>
        <v>0.58084988826621475</v>
      </c>
    </row>
    <row r="46" spans="1:7" x14ac:dyDescent="0.25">
      <c r="A46" s="153" t="s">
        <v>377</v>
      </c>
      <c r="B46" s="501" t="s">
        <v>384</v>
      </c>
      <c r="C46" s="501"/>
      <c r="D46" s="501"/>
      <c r="E46" s="501"/>
      <c r="F46" s="501"/>
      <c r="G46" s="154"/>
    </row>
    <row r="47" spans="1:7" x14ac:dyDescent="0.25">
      <c r="A47" s="146"/>
      <c r="B47" s="146"/>
      <c r="C47" s="146"/>
      <c r="D47" s="146"/>
      <c r="E47" s="146"/>
      <c r="F47" s="146"/>
      <c r="G47" s="147"/>
    </row>
    <row r="48" spans="1:7" ht="15.75" x14ac:dyDescent="0.25">
      <c r="A48" s="498" t="s">
        <v>345</v>
      </c>
      <c r="B48" s="499"/>
      <c r="C48" s="499"/>
      <c r="D48" s="499"/>
      <c r="E48" s="499"/>
      <c r="F48" s="499"/>
      <c r="G48" s="500"/>
    </row>
    <row r="49" spans="1:13" ht="15.75" x14ac:dyDescent="0.25">
      <c r="A49" s="476" t="s">
        <v>346</v>
      </c>
      <c r="B49" s="477"/>
      <c r="C49" s="477"/>
      <c r="D49" s="477"/>
      <c r="E49" s="477"/>
      <c r="F49" s="477"/>
      <c r="G49" s="478"/>
    </row>
    <row r="50" spans="1:13" x14ac:dyDescent="0.25">
      <c r="A50" s="485" t="s">
        <v>347</v>
      </c>
      <c r="B50" s="486"/>
      <c r="C50" s="487" t="s">
        <v>348</v>
      </c>
      <c r="D50" s="488"/>
      <c r="E50" s="148" t="s">
        <v>349</v>
      </c>
      <c r="F50" s="485" t="s">
        <v>350</v>
      </c>
      <c r="G50" s="486"/>
    </row>
    <row r="51" spans="1:13" ht="76.5" customHeight="1" x14ac:dyDescent="0.25">
      <c r="A51" s="440" t="str">
        <f>A13</f>
        <v>Área Interna - I - Produtividade: 1servente/900m² - Pisos Frios e Acarpetados (IN 5/2017)</v>
      </c>
      <c r="B51" s="442"/>
      <c r="C51" s="450">
        <f>F17</f>
        <v>5.7675478150667514</v>
      </c>
      <c r="D51" s="451"/>
      <c r="E51" s="138">
        <f>'Levantamento de Áreas'!G54</f>
        <v>14762.46</v>
      </c>
      <c r="F51" s="452">
        <f>C51*E51</f>
        <v>85143.193918010307</v>
      </c>
      <c r="G51" s="453"/>
    </row>
    <row r="52" spans="1:13" ht="61.5" customHeight="1" x14ac:dyDescent="0.25">
      <c r="A52" s="440" t="str">
        <f>A18</f>
        <v>Área Interna - II - Produtividade: 1servente/100m² - Banheiros - (IN 5/2017)</v>
      </c>
      <c r="B52" s="442"/>
      <c r="C52" s="450">
        <f>F21</f>
        <v>63.711757662503196</v>
      </c>
      <c r="D52" s="451"/>
      <c r="E52" s="138">
        <f>'Levantamento de Áreas'!G57</f>
        <v>892.79</v>
      </c>
      <c r="F52" s="452">
        <f t="shared" ref="F52:F56" si="0">C52*E52</f>
        <v>56881.220123506224</v>
      </c>
      <c r="G52" s="453"/>
    </row>
    <row r="53" spans="1:13" ht="81.95" customHeight="1" x14ac:dyDescent="0.25">
      <c r="A53" s="440" t="str">
        <f>A23</f>
        <v>Área Interna - III - Produtividade: 1servente/1.200m² - Piso Liso da Garagem (áreas com espaço livre) - (IN 5/2017)</v>
      </c>
      <c r="B53" s="442"/>
      <c r="C53" s="450">
        <f>F26</f>
        <v>4.3256608613000633</v>
      </c>
      <c r="D53" s="451"/>
      <c r="E53" s="138">
        <f>'Levantamento de Áreas'!G60</f>
        <v>2474.0500000000002</v>
      </c>
      <c r="F53" s="452">
        <f t="shared" si="0"/>
        <v>10701.901253899423</v>
      </c>
      <c r="G53" s="453"/>
      <c r="M53" s="175"/>
    </row>
    <row r="54" spans="1:13" ht="66.75" customHeight="1" x14ac:dyDescent="0.25">
      <c r="A54" s="440" t="str">
        <f>A28</f>
        <v>Área Externa - Produtividade 1 servente/6.000 m² - varrição de passeios - (IN 5/2017)</v>
      </c>
      <c r="B54" s="442"/>
      <c r="C54" s="450">
        <f>F32</f>
        <v>0.8651321722600126</v>
      </c>
      <c r="D54" s="451"/>
      <c r="E54" s="138">
        <f>'Levantamento de Áreas'!G70</f>
        <v>9837</v>
      </c>
      <c r="F54" s="452">
        <f t="shared" si="0"/>
        <v>8510.3051785217431</v>
      </c>
      <c r="G54" s="453"/>
    </row>
    <row r="55" spans="1:13" ht="54.95" customHeight="1" x14ac:dyDescent="0.25">
      <c r="A55" s="440" t="str">
        <f>A34</f>
        <v>Esquadria - Face Interna - Produtividade 1servente/300m² - (IN 5/2017)</v>
      </c>
      <c r="B55" s="442"/>
      <c r="C55" s="450">
        <f>G38</f>
        <v>1.4440357089857359</v>
      </c>
      <c r="D55" s="451"/>
      <c r="E55" s="138">
        <f>'Levantamento de Áreas'!G74</f>
        <v>5304</v>
      </c>
      <c r="F55" s="452">
        <f t="shared" si="0"/>
        <v>7659.1654004603433</v>
      </c>
      <c r="G55" s="453"/>
    </row>
    <row r="56" spans="1:13" ht="62.45" customHeight="1" x14ac:dyDescent="0.25">
      <c r="A56" s="481" t="str">
        <f>'Levantamento de Áreas'!A77:G77</f>
        <v>Fachada Envidraçada - Face Externa - Produtividade 1servente /130m² - (IN 5/2017)</v>
      </c>
      <c r="B56" s="482"/>
      <c r="C56" s="450">
        <f>G45+1</f>
        <v>1.5808498882662148</v>
      </c>
      <c r="D56" s="451"/>
      <c r="E56" s="138">
        <f>'[2]Levantamento de Áreas'!G75</f>
        <v>12303.967199999999</v>
      </c>
      <c r="F56" s="452">
        <f t="shared" si="0"/>
        <v>19450.725173351169</v>
      </c>
      <c r="G56" s="453"/>
    </row>
    <row r="57" spans="1:13" ht="22.5" customHeight="1" x14ac:dyDescent="0.25">
      <c r="A57" s="481" t="s">
        <v>561</v>
      </c>
      <c r="B57" s="483"/>
      <c r="C57" s="483"/>
      <c r="D57" s="483"/>
      <c r="E57" s="483"/>
      <c r="F57" s="483"/>
      <c r="G57" s="484"/>
    </row>
    <row r="58" spans="1:13" x14ac:dyDescent="0.25">
      <c r="A58" s="468" t="s">
        <v>351</v>
      </c>
      <c r="B58" s="469"/>
      <c r="C58" s="469"/>
      <c r="D58" s="469"/>
      <c r="E58" s="470"/>
      <c r="F58" s="452">
        <f>SUM(F51:G56)</f>
        <v>188346.51104774923</v>
      </c>
      <c r="G58" s="453"/>
    </row>
    <row r="59" spans="1:13" ht="15.75" x14ac:dyDescent="0.25">
      <c r="A59" s="476" t="s">
        <v>352</v>
      </c>
      <c r="B59" s="477"/>
      <c r="C59" s="477"/>
      <c r="D59" s="477"/>
      <c r="E59" s="477"/>
      <c r="F59" s="477"/>
      <c r="G59" s="478"/>
    </row>
    <row r="60" spans="1:13" x14ac:dyDescent="0.25">
      <c r="A60" s="479" t="s">
        <v>353</v>
      </c>
      <c r="B60" s="480"/>
      <c r="C60" s="145" t="s">
        <v>354</v>
      </c>
      <c r="D60" s="458" t="s">
        <v>355</v>
      </c>
      <c r="E60" s="459"/>
      <c r="F60" s="458" t="s">
        <v>356</v>
      </c>
      <c r="G60" s="459"/>
    </row>
    <row r="61" spans="1:13" x14ac:dyDescent="0.25">
      <c r="A61" s="458" t="s">
        <v>52</v>
      </c>
      <c r="B61" s="459"/>
      <c r="C61" s="145">
        <v>1</v>
      </c>
      <c r="D61" s="450">
        <f>Jardineiro!G158</f>
        <v>6520.8026353935384</v>
      </c>
      <c r="E61" s="451"/>
      <c r="F61" s="450">
        <f>C61*D61</f>
        <v>6520.8026353935384</v>
      </c>
      <c r="G61" s="451"/>
    </row>
    <row r="62" spans="1:13" x14ac:dyDescent="0.25">
      <c r="A62" s="458" t="s">
        <v>284</v>
      </c>
      <c r="B62" s="459"/>
      <c r="C62" s="145">
        <v>1</v>
      </c>
      <c r="D62" s="450">
        <f>'Lavador de Autos'!G158</f>
        <v>4903.8427475338985</v>
      </c>
      <c r="E62" s="451"/>
      <c r="F62" s="450">
        <f>C62*D62</f>
        <v>4903.8427475338985</v>
      </c>
      <c r="G62" s="451"/>
    </row>
    <row r="63" spans="1:13" x14ac:dyDescent="0.25">
      <c r="A63" s="458" t="s">
        <v>48</v>
      </c>
      <c r="B63" s="459"/>
      <c r="C63" s="145">
        <v>4</v>
      </c>
      <c r="D63" s="450">
        <f>'Carregador de Móveis'!G158</f>
        <v>4904.8862101775767</v>
      </c>
      <c r="E63" s="451"/>
      <c r="F63" s="450">
        <f>C63*D63</f>
        <v>19619.544840710307</v>
      </c>
      <c r="G63" s="451"/>
    </row>
    <row r="64" spans="1:13" x14ac:dyDescent="0.25">
      <c r="A64" s="468" t="s">
        <v>357</v>
      </c>
      <c r="B64" s="469"/>
      <c r="C64" s="469"/>
      <c r="D64" s="469"/>
      <c r="E64" s="470"/>
      <c r="F64" s="452">
        <f>SUM(F61:G63)</f>
        <v>31044.190223637743</v>
      </c>
      <c r="G64" s="453"/>
    </row>
    <row r="65" spans="1:7" x14ac:dyDescent="0.25">
      <c r="A65" s="471" t="s">
        <v>358</v>
      </c>
      <c r="B65" s="472"/>
      <c r="C65" s="472"/>
      <c r="D65" s="472"/>
      <c r="E65" s="473"/>
      <c r="F65" s="474">
        <f>F58+F64</f>
        <v>219390.70127138696</v>
      </c>
      <c r="G65" s="475"/>
    </row>
    <row r="66" spans="1:7" x14ac:dyDescent="0.25">
      <c r="C66" s="81"/>
      <c r="D66" s="81"/>
    </row>
    <row r="67" spans="1:7" ht="15.75" x14ac:dyDescent="0.25">
      <c r="A67" s="454" t="s">
        <v>359</v>
      </c>
      <c r="B67" s="455"/>
      <c r="C67" s="455"/>
      <c r="D67" s="455"/>
      <c r="E67" s="456"/>
      <c r="F67" s="448">
        <f>F65*12</f>
        <v>2632688.4152566437</v>
      </c>
      <c r="G67" s="449"/>
    </row>
  </sheetData>
  <mergeCells count="104">
    <mergeCell ref="B16:C16"/>
    <mergeCell ref="D16:E16"/>
    <mergeCell ref="F16:G16"/>
    <mergeCell ref="A11:G11"/>
    <mergeCell ref="A12:G12"/>
    <mergeCell ref="A13:G13"/>
    <mergeCell ref="B14:C14"/>
    <mergeCell ref="D14:E14"/>
    <mergeCell ref="F14:G14"/>
    <mergeCell ref="A1:G1"/>
    <mergeCell ref="A2:G2"/>
    <mergeCell ref="A3:G3"/>
    <mergeCell ref="A4:G4"/>
    <mergeCell ref="A5:G5"/>
    <mergeCell ref="A8:G8"/>
    <mergeCell ref="B15:C15"/>
    <mergeCell ref="D15:E15"/>
    <mergeCell ref="F15:G15"/>
    <mergeCell ref="A17:E17"/>
    <mergeCell ref="F17:G17"/>
    <mergeCell ref="A18:G18"/>
    <mergeCell ref="B19:C19"/>
    <mergeCell ref="D19:E19"/>
    <mergeCell ref="F19:G19"/>
    <mergeCell ref="B31:C31"/>
    <mergeCell ref="D31:E31"/>
    <mergeCell ref="F31:G31"/>
    <mergeCell ref="B20:C20"/>
    <mergeCell ref="D20:E20"/>
    <mergeCell ref="F20:G20"/>
    <mergeCell ref="A21:E21"/>
    <mergeCell ref="F21:G21"/>
    <mergeCell ref="A22:G22"/>
    <mergeCell ref="A28:G28"/>
    <mergeCell ref="B29:C29"/>
    <mergeCell ref="D29:E29"/>
    <mergeCell ref="F29:G29"/>
    <mergeCell ref="B30:C30"/>
    <mergeCell ref="D30:E30"/>
    <mergeCell ref="F30:G30"/>
    <mergeCell ref="A27:G27"/>
    <mergeCell ref="F26:G26"/>
    <mergeCell ref="A38:F38"/>
    <mergeCell ref="A40:G40"/>
    <mergeCell ref="A41:G41"/>
    <mergeCell ref="A45:F45"/>
    <mergeCell ref="A48:G48"/>
    <mergeCell ref="A49:G49"/>
    <mergeCell ref="B46:F46"/>
    <mergeCell ref="B39:F39"/>
    <mergeCell ref="A32:E32"/>
    <mergeCell ref="F32:G32"/>
    <mergeCell ref="A34:G34"/>
    <mergeCell ref="A52:B52"/>
    <mergeCell ref="C52:D52"/>
    <mergeCell ref="F52:G52"/>
    <mergeCell ref="A54:B54"/>
    <mergeCell ref="C54:D54"/>
    <mergeCell ref="F54:G54"/>
    <mergeCell ref="A50:B50"/>
    <mergeCell ref="C50:D50"/>
    <mergeCell ref="F50:G50"/>
    <mergeCell ref="A51:B51"/>
    <mergeCell ref="C51:D51"/>
    <mergeCell ref="F51:G51"/>
    <mergeCell ref="D62:E62"/>
    <mergeCell ref="F62:G62"/>
    <mergeCell ref="A58:E58"/>
    <mergeCell ref="F58:G58"/>
    <mergeCell ref="A59:G59"/>
    <mergeCell ref="A60:B60"/>
    <mergeCell ref="D60:E60"/>
    <mergeCell ref="F60:G60"/>
    <mergeCell ref="A55:B55"/>
    <mergeCell ref="C55:D55"/>
    <mergeCell ref="F55:G55"/>
    <mergeCell ref="A56:B56"/>
    <mergeCell ref="C56:D56"/>
    <mergeCell ref="F56:G56"/>
    <mergeCell ref="A57:G57"/>
    <mergeCell ref="F67:G67"/>
    <mergeCell ref="A53:B53"/>
    <mergeCell ref="C53:D53"/>
    <mergeCell ref="F53:G53"/>
    <mergeCell ref="A67:E67"/>
    <mergeCell ref="A23:G23"/>
    <mergeCell ref="B24:C24"/>
    <mergeCell ref="D24:E24"/>
    <mergeCell ref="F24:G24"/>
    <mergeCell ref="B25:C25"/>
    <mergeCell ref="D25:E25"/>
    <mergeCell ref="F25:G25"/>
    <mergeCell ref="A26:E26"/>
    <mergeCell ref="A63:B63"/>
    <mergeCell ref="D63:E63"/>
    <mergeCell ref="F63:G63"/>
    <mergeCell ref="A64:E64"/>
    <mergeCell ref="F64:G64"/>
    <mergeCell ref="A65:E65"/>
    <mergeCell ref="F65:G65"/>
    <mergeCell ref="A61:B61"/>
    <mergeCell ref="D61:E61"/>
    <mergeCell ref="F61:G61"/>
    <mergeCell ref="A62:B62"/>
  </mergeCells>
  <pageMargins left="0.511811024" right="0.511811024" top="0.78740157499999996" bottom="0.78740157499999996" header="0.31496062000000002" footer="0.31496062000000002"/>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Encarregado</vt:lpstr>
      <vt:lpstr>Servente</vt:lpstr>
      <vt:lpstr>Ag. Higienização de Banheiros</vt:lpstr>
      <vt:lpstr>Jardineiro</vt:lpstr>
      <vt:lpstr>Jauzeiro</vt:lpstr>
      <vt:lpstr>Lavador de Autos</vt:lpstr>
      <vt:lpstr>Carregador de Móveis</vt:lpstr>
      <vt:lpstr>Levantamento de Áreas</vt:lpstr>
      <vt:lpstr>Valor MO Mensal, m²</vt:lpstr>
      <vt:lpstr>Material Cons Mensal Anual </vt:lpstr>
      <vt:lpstr>Uniformes Total</vt:lpstr>
      <vt:lpstr>Uniformes Por Categoria</vt:lpstr>
      <vt:lpstr>Equips Ferr Básicos p Funcion</vt:lpstr>
      <vt:lpstr>Resumo Geral (MO+MAT.)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Alvanir da Silva Carvalho</dc:creator>
  <cp:lastModifiedBy>Tayna Lima Martins</cp:lastModifiedBy>
  <cp:lastPrinted>2020-06-21T18:10:04Z</cp:lastPrinted>
  <dcterms:created xsi:type="dcterms:W3CDTF">2020-06-17T10:05:11Z</dcterms:created>
  <dcterms:modified xsi:type="dcterms:W3CDTF">2025-06-23T14:20:37Z</dcterms:modified>
</cp:coreProperties>
</file>